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75" windowHeight="7875" firstSheet="6" activeTab="11"/>
  </bookViews>
  <sheets>
    <sheet name="01.04" sheetId="1" r:id="rId1"/>
    <sheet name="01.10" sheetId="2" r:id="rId2"/>
    <sheet name="Доходы 01.04.2012 г." sheetId="4" r:id="rId3"/>
    <sheet name="Расходы 01.04.2012 г." sheetId="5" r:id="rId4"/>
    <sheet name="Доходы 01.07.2012" sheetId="3" r:id="rId5"/>
    <sheet name="Расходы 01.07.2012" sheetId="6" r:id="rId6"/>
    <sheet name="Доходы 01.04.2013" sheetId="7" r:id="rId7"/>
    <sheet name="Расходы на 01.04.2013 г." sheetId="8" r:id="rId8"/>
    <sheet name="Расходы на 01.04.2018" sheetId="10" r:id="rId9"/>
    <sheet name="Доходы на 01.04.2018" sheetId="11" r:id="rId10"/>
    <sheet name="Доходы на 01.04.2019" sheetId="12" r:id="rId11"/>
    <sheet name="Расходы на 01.04.2019" sheetId="13" r:id="rId12"/>
  </sheets>
  <calcPr calcId="125725"/>
</workbook>
</file>

<file path=xl/calcChain.xml><?xml version="1.0" encoding="utf-8"?>
<calcChain xmlns="http://schemas.openxmlformats.org/spreadsheetml/2006/main">
  <c r="D24" i="12"/>
  <c r="D7"/>
  <c r="F28"/>
  <c r="D3"/>
  <c r="C3"/>
  <c r="D24" i="13"/>
  <c r="C24"/>
  <c r="F21"/>
  <c r="F22"/>
  <c r="E21"/>
  <c r="C22"/>
  <c r="C20" s="1"/>
  <c r="D20"/>
  <c r="D19"/>
  <c r="E19" s="1"/>
  <c r="C19"/>
  <c r="C17" s="1"/>
  <c r="C18"/>
  <c r="E18" s="1"/>
  <c r="E16"/>
  <c r="C16"/>
  <c r="D15"/>
  <c r="D14" s="1"/>
  <c r="C15"/>
  <c r="C14" s="1"/>
  <c r="C13"/>
  <c r="E13" s="1"/>
  <c r="C12"/>
  <c r="F12" s="1"/>
  <c r="D10"/>
  <c r="C10"/>
  <c r="D8"/>
  <c r="C8"/>
  <c r="C2" s="1"/>
  <c r="D4"/>
  <c r="C4"/>
  <c r="D3"/>
  <c r="E3" s="1"/>
  <c r="C3"/>
  <c r="E38"/>
  <c r="F37"/>
  <c r="E37"/>
  <c r="E36"/>
  <c r="F35"/>
  <c r="E35"/>
  <c r="D35"/>
  <c r="C35"/>
  <c r="F34"/>
  <c r="E34"/>
  <c r="F32"/>
  <c r="E32"/>
  <c r="E31"/>
  <c r="F30"/>
  <c r="E30"/>
  <c r="F29"/>
  <c r="E29"/>
  <c r="D28"/>
  <c r="C28"/>
  <c r="F27"/>
  <c r="E27"/>
  <c r="F26"/>
  <c r="E26"/>
  <c r="D26"/>
  <c r="C26"/>
  <c r="F25"/>
  <c r="E25"/>
  <c r="C23"/>
  <c r="F16"/>
  <c r="F13"/>
  <c r="D11"/>
  <c r="E10"/>
  <c r="D9"/>
  <c r="E9" s="1"/>
  <c r="C9"/>
  <c r="E8"/>
  <c r="F7"/>
  <c r="E7"/>
  <c r="E6"/>
  <c r="F5"/>
  <c r="E5"/>
  <c r="F4"/>
  <c r="E32" i="12"/>
  <c r="E31"/>
  <c r="E30"/>
  <c r="E29"/>
  <c r="E28"/>
  <c r="E27"/>
  <c r="F26"/>
  <c r="E26"/>
  <c r="D25"/>
  <c r="C25"/>
  <c r="E23"/>
  <c r="E22"/>
  <c r="E21"/>
  <c r="E20"/>
  <c r="F19"/>
  <c r="E19"/>
  <c r="F17"/>
  <c r="E17"/>
  <c r="E16"/>
  <c r="E15"/>
  <c r="E14"/>
  <c r="E12"/>
  <c r="C12"/>
  <c r="F10"/>
  <c r="E10"/>
  <c r="F9"/>
  <c r="E9"/>
  <c r="E7" s="1"/>
  <c r="C7"/>
  <c r="C24" s="1"/>
  <c r="F6"/>
  <c r="E6"/>
  <c r="F5"/>
  <c r="E5"/>
  <c r="F4"/>
  <c r="E4"/>
  <c r="F3"/>
  <c r="E3"/>
  <c r="D25" i="11"/>
  <c r="C25"/>
  <c r="E28"/>
  <c r="E29"/>
  <c r="F26"/>
  <c r="E26"/>
  <c r="D9" i="10"/>
  <c r="D23"/>
  <c r="D22" s="1"/>
  <c r="C23"/>
  <c r="D20"/>
  <c r="D21"/>
  <c r="C21"/>
  <c r="D19"/>
  <c r="D17" s="1"/>
  <c r="C19"/>
  <c r="D18"/>
  <c r="C18"/>
  <c r="E18" s="1"/>
  <c r="D16"/>
  <c r="C16"/>
  <c r="F16" s="1"/>
  <c r="D15"/>
  <c r="D14" s="1"/>
  <c r="C15"/>
  <c r="C13"/>
  <c r="E13" s="1"/>
  <c r="C12"/>
  <c r="F12" s="1"/>
  <c r="D10"/>
  <c r="C10"/>
  <c r="D8"/>
  <c r="C8"/>
  <c r="F8" s="1"/>
  <c r="E6"/>
  <c r="D4"/>
  <c r="D2" s="1"/>
  <c r="C4"/>
  <c r="D3"/>
  <c r="C3"/>
  <c r="F30" i="11"/>
  <c r="E30"/>
  <c r="D4"/>
  <c r="F4" s="1"/>
  <c r="D3"/>
  <c r="C3"/>
  <c r="C2" i="10"/>
  <c r="F32" i="11"/>
  <c r="E32"/>
  <c r="F31"/>
  <c r="E31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C12"/>
  <c r="F12" s="1"/>
  <c r="F11"/>
  <c r="E11"/>
  <c r="F10"/>
  <c r="E10"/>
  <c r="F9"/>
  <c r="E9"/>
  <c r="D7"/>
  <c r="C7"/>
  <c r="F6"/>
  <c r="E6"/>
  <c r="E5"/>
  <c r="F5"/>
  <c r="F31" i="10"/>
  <c r="E31"/>
  <c r="E37"/>
  <c r="F36"/>
  <c r="E36"/>
  <c r="E35"/>
  <c r="D34"/>
  <c r="C34"/>
  <c r="F33"/>
  <c r="E33"/>
  <c r="F29"/>
  <c r="E29"/>
  <c r="F28"/>
  <c r="E28"/>
  <c r="D27"/>
  <c r="C27"/>
  <c r="F26"/>
  <c r="E26"/>
  <c r="D25"/>
  <c r="C25"/>
  <c r="F24"/>
  <c r="E24"/>
  <c r="C22"/>
  <c r="F21"/>
  <c r="E21"/>
  <c r="C20"/>
  <c r="F20" s="1"/>
  <c r="C17"/>
  <c r="E16"/>
  <c r="E15"/>
  <c r="E12"/>
  <c r="D11"/>
  <c r="F10"/>
  <c r="C9"/>
  <c r="F7"/>
  <c r="E7"/>
  <c r="F5"/>
  <c r="E5"/>
  <c r="D4" i="8"/>
  <c r="D3"/>
  <c r="D2" s="1"/>
  <c r="D22"/>
  <c r="C22"/>
  <c r="E22" s="1"/>
  <c r="D9"/>
  <c r="D8" s="1"/>
  <c r="D7"/>
  <c r="F7" s="1"/>
  <c r="C7"/>
  <c r="E5"/>
  <c r="F5"/>
  <c r="C4"/>
  <c r="F4" s="1"/>
  <c r="C3"/>
  <c r="E35"/>
  <c r="F34"/>
  <c r="E34"/>
  <c r="E33"/>
  <c r="D32"/>
  <c r="C32"/>
  <c r="F31"/>
  <c r="E31"/>
  <c r="F30"/>
  <c r="E30"/>
  <c r="D29"/>
  <c r="C29"/>
  <c r="F28"/>
  <c r="E28"/>
  <c r="F27"/>
  <c r="E27"/>
  <c r="D26"/>
  <c r="C26"/>
  <c r="F25"/>
  <c r="E25"/>
  <c r="D24"/>
  <c r="F24" s="1"/>
  <c r="C24"/>
  <c r="F23"/>
  <c r="E23"/>
  <c r="F22"/>
  <c r="D21"/>
  <c r="F20"/>
  <c r="E20"/>
  <c r="C19"/>
  <c r="F19" s="1"/>
  <c r="F18"/>
  <c r="E18"/>
  <c r="F17"/>
  <c r="E17"/>
  <c r="D16"/>
  <c r="C16"/>
  <c r="F15"/>
  <c r="E15"/>
  <c r="F14"/>
  <c r="E14"/>
  <c r="D13"/>
  <c r="C13"/>
  <c r="F12"/>
  <c r="E12"/>
  <c r="F11"/>
  <c r="E11"/>
  <c r="D10"/>
  <c r="C10"/>
  <c r="F9"/>
  <c r="E9"/>
  <c r="C8"/>
  <c r="E7"/>
  <c r="F6"/>
  <c r="E6"/>
  <c r="E4"/>
  <c r="D25" i="7"/>
  <c r="F25" s="1"/>
  <c r="C25"/>
  <c r="D3"/>
  <c r="F3" s="1"/>
  <c r="E25"/>
  <c r="F24"/>
  <c r="E24"/>
  <c r="F22"/>
  <c r="E22"/>
  <c r="F21"/>
  <c r="E21"/>
  <c r="F20"/>
  <c r="E20"/>
  <c r="F19"/>
  <c r="E19"/>
  <c r="F18"/>
  <c r="E18"/>
  <c r="F16"/>
  <c r="E16"/>
  <c r="F15"/>
  <c r="E15"/>
  <c r="F14"/>
  <c r="E14"/>
  <c r="F13"/>
  <c r="E13"/>
  <c r="E11" s="1"/>
  <c r="D11"/>
  <c r="C11"/>
  <c r="F10"/>
  <c r="F9"/>
  <c r="F8"/>
  <c r="D6"/>
  <c r="C6"/>
  <c r="F5"/>
  <c r="F4"/>
  <c r="E4" i="6"/>
  <c r="E5"/>
  <c r="E6"/>
  <c r="E8"/>
  <c r="E10"/>
  <c r="E11"/>
  <c r="E13"/>
  <c r="E14"/>
  <c r="E16"/>
  <c r="E17"/>
  <c r="E19"/>
  <c r="E21"/>
  <c r="E22"/>
  <c r="E24"/>
  <c r="E26"/>
  <c r="E27"/>
  <c r="E29"/>
  <c r="E30"/>
  <c r="E31"/>
  <c r="E32"/>
  <c r="E33"/>
  <c r="E34"/>
  <c r="D25"/>
  <c r="C25"/>
  <c r="E25" s="1"/>
  <c r="F27"/>
  <c r="C3"/>
  <c r="C2" s="1"/>
  <c r="C35" s="1"/>
  <c r="D31"/>
  <c r="D28"/>
  <c r="E28" s="1"/>
  <c r="C28"/>
  <c r="F30"/>
  <c r="D25" i="3"/>
  <c r="E25" s="1"/>
  <c r="C25"/>
  <c r="D6"/>
  <c r="D23" s="1"/>
  <c r="D9"/>
  <c r="D4"/>
  <c r="E4" s="1"/>
  <c r="D3"/>
  <c r="D5"/>
  <c r="C6"/>
  <c r="D8"/>
  <c r="D10"/>
  <c r="E10" s="1"/>
  <c r="D11"/>
  <c r="C11"/>
  <c r="F11" s="1"/>
  <c r="F20"/>
  <c r="E20"/>
  <c r="D17"/>
  <c r="E24"/>
  <c r="E22"/>
  <c r="E21"/>
  <c r="E19"/>
  <c r="E18"/>
  <c r="E17"/>
  <c r="E16"/>
  <c r="E15"/>
  <c r="E14"/>
  <c r="E13"/>
  <c r="E11" s="1"/>
  <c r="E9"/>
  <c r="E6" s="1"/>
  <c r="E8"/>
  <c r="E5"/>
  <c r="E3"/>
  <c r="F33" i="6"/>
  <c r="C31"/>
  <c r="F29"/>
  <c r="F26"/>
  <c r="F24"/>
  <c r="D23"/>
  <c r="C23"/>
  <c r="E23" s="1"/>
  <c r="F22"/>
  <c r="F21"/>
  <c r="D20"/>
  <c r="E20" s="1"/>
  <c r="C20"/>
  <c r="F19"/>
  <c r="C18"/>
  <c r="E18" s="1"/>
  <c r="F17"/>
  <c r="F16"/>
  <c r="D15"/>
  <c r="C15"/>
  <c r="E15" s="1"/>
  <c r="F14"/>
  <c r="F13"/>
  <c r="D12"/>
  <c r="E12" s="1"/>
  <c r="C12"/>
  <c r="F11"/>
  <c r="F10"/>
  <c r="D9"/>
  <c r="C9"/>
  <c r="E9" s="1"/>
  <c r="F8"/>
  <c r="D7"/>
  <c r="E7" s="1"/>
  <c r="C7"/>
  <c r="F6"/>
  <c r="F5"/>
  <c r="F4"/>
  <c r="D2"/>
  <c r="F25" i="3"/>
  <c r="F24"/>
  <c r="F22"/>
  <c r="F21"/>
  <c r="F19"/>
  <c r="F18"/>
  <c r="F17"/>
  <c r="F16"/>
  <c r="F15"/>
  <c r="F14"/>
  <c r="F13"/>
  <c r="F10"/>
  <c r="F9"/>
  <c r="F8"/>
  <c r="F5"/>
  <c r="F3"/>
  <c r="F25" i="4"/>
  <c r="F24"/>
  <c r="F23"/>
  <c r="F22"/>
  <c r="F19"/>
  <c r="F20"/>
  <c r="F21"/>
  <c r="F18"/>
  <c r="F17"/>
  <c r="F15"/>
  <c r="F16"/>
  <c r="F14"/>
  <c r="F13"/>
  <c r="F11"/>
  <c r="F10"/>
  <c r="F9"/>
  <c r="F8"/>
  <c r="F6"/>
  <c r="F5"/>
  <c r="F4"/>
  <c r="D20" i="5"/>
  <c r="E31"/>
  <c r="E32"/>
  <c r="E30"/>
  <c r="E28"/>
  <c r="D29"/>
  <c r="C29"/>
  <c r="D27"/>
  <c r="E27" s="1"/>
  <c r="C27"/>
  <c r="E26"/>
  <c r="D25"/>
  <c r="C25"/>
  <c r="F25" s="1"/>
  <c r="E24"/>
  <c r="D23"/>
  <c r="E23" s="1"/>
  <c r="C23"/>
  <c r="C20"/>
  <c r="E20" s="1"/>
  <c r="E21"/>
  <c r="E22"/>
  <c r="C18"/>
  <c r="E18" s="1"/>
  <c r="E19"/>
  <c r="E16"/>
  <c r="E17"/>
  <c r="D15"/>
  <c r="C15"/>
  <c r="E13"/>
  <c r="E14"/>
  <c r="D12"/>
  <c r="C12"/>
  <c r="E12" s="1"/>
  <c r="D9"/>
  <c r="E3"/>
  <c r="E4"/>
  <c r="E5"/>
  <c r="E6"/>
  <c r="E8"/>
  <c r="E10"/>
  <c r="E11"/>
  <c r="C9"/>
  <c r="E9" s="1"/>
  <c r="D7"/>
  <c r="F7" s="1"/>
  <c r="C7"/>
  <c r="D2"/>
  <c r="E2" s="1"/>
  <c r="C2"/>
  <c r="F27"/>
  <c r="F28"/>
  <c r="F31"/>
  <c r="F20"/>
  <c r="F21"/>
  <c r="F22"/>
  <c r="F24"/>
  <c r="F26"/>
  <c r="F13"/>
  <c r="F14"/>
  <c r="F15"/>
  <c r="F16"/>
  <c r="F17"/>
  <c r="F18"/>
  <c r="F19"/>
  <c r="F10"/>
  <c r="F11"/>
  <c r="F5"/>
  <c r="F6"/>
  <c r="F8"/>
  <c r="F4"/>
  <c r="C26" i="4"/>
  <c r="D26"/>
  <c r="F26" s="1"/>
  <c r="F3" i="5"/>
  <c r="F2"/>
  <c r="F3" i="4"/>
  <c r="D17" i="2"/>
  <c r="J7"/>
  <c r="J11"/>
  <c r="J12"/>
  <c r="J13"/>
  <c r="J16"/>
  <c r="J18"/>
  <c r="J19"/>
  <c r="J25"/>
  <c r="J26"/>
  <c r="J29"/>
  <c r="J30"/>
  <c r="D28"/>
  <c r="D27"/>
  <c r="E27"/>
  <c r="I27" s="1"/>
  <c r="F27"/>
  <c r="J27" s="1"/>
  <c r="F28"/>
  <c r="G28" s="1"/>
  <c r="F24"/>
  <c r="J24" s="1"/>
  <c r="F23"/>
  <c r="J23" s="1"/>
  <c r="F21"/>
  <c r="J21" s="1"/>
  <c r="F20"/>
  <c r="J20" s="1"/>
  <c r="F17"/>
  <c r="F15"/>
  <c r="J15" s="1"/>
  <c r="F14"/>
  <c r="J14" s="1"/>
  <c r="F10"/>
  <c r="J10" s="1"/>
  <c r="F9"/>
  <c r="J9" s="1"/>
  <c r="F6"/>
  <c r="J6" s="1"/>
  <c r="F5"/>
  <c r="I28"/>
  <c r="D22"/>
  <c r="D8"/>
  <c r="D6"/>
  <c r="D5"/>
  <c r="D31" s="1"/>
  <c r="J31" s="1"/>
  <c r="I30"/>
  <c r="H30"/>
  <c r="G30"/>
  <c r="I29"/>
  <c r="H29"/>
  <c r="G29"/>
  <c r="H27"/>
  <c r="I26"/>
  <c r="H26"/>
  <c r="G26"/>
  <c r="H25"/>
  <c r="G25"/>
  <c r="I24"/>
  <c r="H24"/>
  <c r="I23"/>
  <c r="F22"/>
  <c r="J22" s="1"/>
  <c r="E22"/>
  <c r="I22" s="1"/>
  <c r="I21"/>
  <c r="G21"/>
  <c r="I20"/>
  <c r="I19"/>
  <c r="G19"/>
  <c r="I18"/>
  <c r="H18"/>
  <c r="G18"/>
  <c r="I17"/>
  <c r="H17"/>
  <c r="I16"/>
  <c r="H16"/>
  <c r="G16"/>
  <c r="I15"/>
  <c r="G15"/>
  <c r="I14"/>
  <c r="H14"/>
  <c r="I13"/>
  <c r="H13"/>
  <c r="G13"/>
  <c r="I12"/>
  <c r="H12"/>
  <c r="G12"/>
  <c r="I11"/>
  <c r="H11"/>
  <c r="G11"/>
  <c r="I10"/>
  <c r="I9"/>
  <c r="H9"/>
  <c r="F8"/>
  <c r="J8" s="1"/>
  <c r="E8"/>
  <c r="I7"/>
  <c r="G7"/>
  <c r="I6"/>
  <c r="I5"/>
  <c r="H5"/>
  <c r="G5"/>
  <c r="E27" i="1"/>
  <c r="F27" s="1"/>
  <c r="E24"/>
  <c r="E23"/>
  <c r="F23" s="1"/>
  <c r="E20"/>
  <c r="E17"/>
  <c r="F17" s="1"/>
  <c r="E14"/>
  <c r="E10"/>
  <c r="F10" s="1"/>
  <c r="E9"/>
  <c r="E6"/>
  <c r="F6" s="1"/>
  <c r="G25"/>
  <c r="F7"/>
  <c r="F9"/>
  <c r="F11"/>
  <c r="F12"/>
  <c r="F13"/>
  <c r="F14"/>
  <c r="F15"/>
  <c r="F16"/>
  <c r="F18"/>
  <c r="F19"/>
  <c r="F20"/>
  <c r="F21"/>
  <c r="F24"/>
  <c r="F25"/>
  <c r="F26"/>
  <c r="F28"/>
  <c r="F29"/>
  <c r="F5"/>
  <c r="D22"/>
  <c r="H22" s="1"/>
  <c r="D8"/>
  <c r="H6"/>
  <c r="H7"/>
  <c r="H9"/>
  <c r="H10"/>
  <c r="H11"/>
  <c r="H12"/>
  <c r="H13"/>
  <c r="H14"/>
  <c r="H15"/>
  <c r="H16"/>
  <c r="H17"/>
  <c r="H18"/>
  <c r="H19"/>
  <c r="H20"/>
  <c r="H21"/>
  <c r="H23"/>
  <c r="H24"/>
  <c r="H26"/>
  <c r="H27"/>
  <c r="H28"/>
  <c r="H29"/>
  <c r="H5"/>
  <c r="G9"/>
  <c r="G10"/>
  <c r="G11"/>
  <c r="G12"/>
  <c r="G13"/>
  <c r="G14"/>
  <c r="G15"/>
  <c r="G16"/>
  <c r="G18"/>
  <c r="G20"/>
  <c r="G23"/>
  <c r="G24"/>
  <c r="G26"/>
  <c r="G28"/>
  <c r="G29"/>
  <c r="G5"/>
  <c r="H6" i="2"/>
  <c r="I8"/>
  <c r="G9"/>
  <c r="G10"/>
  <c r="G14"/>
  <c r="G17"/>
  <c r="G22"/>
  <c r="G24"/>
  <c r="H8" i="1"/>
  <c r="E25" i="12" l="1"/>
  <c r="C33"/>
  <c r="C34" s="1"/>
  <c r="F25"/>
  <c r="E28" i="13"/>
  <c r="E24"/>
  <c r="E22"/>
  <c r="E20"/>
  <c r="F20"/>
  <c r="F19"/>
  <c r="F18"/>
  <c r="F14"/>
  <c r="E14"/>
  <c r="F15"/>
  <c r="E15"/>
  <c r="C11"/>
  <c r="E11" s="1"/>
  <c r="E12"/>
  <c r="E4"/>
  <c r="F3"/>
  <c r="C39"/>
  <c r="D2"/>
  <c r="D23"/>
  <c r="F8"/>
  <c r="F9"/>
  <c r="F10"/>
  <c r="D17"/>
  <c r="F24"/>
  <c r="F28"/>
  <c r="D33" i="12"/>
  <c r="F24"/>
  <c r="E24"/>
  <c r="F7"/>
  <c r="F27" i="11"/>
  <c r="E27"/>
  <c r="D24"/>
  <c r="D33" s="1"/>
  <c r="E12"/>
  <c r="F3"/>
  <c r="E7"/>
  <c r="F25"/>
  <c r="D38" i="10"/>
  <c r="G17" s="1"/>
  <c r="F23"/>
  <c r="E19"/>
  <c r="F19"/>
  <c r="F18"/>
  <c r="F15"/>
  <c r="C14"/>
  <c r="F14" s="1"/>
  <c r="F13"/>
  <c r="C11"/>
  <c r="F11" s="1"/>
  <c r="F4"/>
  <c r="F3"/>
  <c r="E25" i="11"/>
  <c r="E3"/>
  <c r="E23" i="3"/>
  <c r="E26" s="1"/>
  <c r="E27" s="1"/>
  <c r="D26"/>
  <c r="D33" i="5"/>
  <c r="F33" s="1"/>
  <c r="G23" i="2"/>
  <c r="G8"/>
  <c r="H22"/>
  <c r="G27" i="1"/>
  <c r="E8"/>
  <c r="E31" i="2"/>
  <c r="H31" s="1"/>
  <c r="H10"/>
  <c r="H23"/>
  <c r="J17"/>
  <c r="F9" i="5"/>
  <c r="E7"/>
  <c r="E15"/>
  <c r="E25"/>
  <c r="C33"/>
  <c r="F4" i="3"/>
  <c r="F3" i="6"/>
  <c r="C23" i="3"/>
  <c r="C26" s="1"/>
  <c r="F3" i="8"/>
  <c r="C21"/>
  <c r="C36" s="1"/>
  <c r="C24" i="11"/>
  <c r="C33" s="1"/>
  <c r="C34" s="1"/>
  <c r="F22" i="1"/>
  <c r="H8" i="2"/>
  <c r="G6" i="1"/>
  <c r="F29" i="5"/>
  <c r="E3" i="6"/>
  <c r="G27" i="2"/>
  <c r="G20"/>
  <c r="G6"/>
  <c r="G17" i="1"/>
  <c r="D30"/>
  <c r="E22"/>
  <c r="G22" s="1"/>
  <c r="G31" i="2"/>
  <c r="H15"/>
  <c r="H20"/>
  <c r="J5"/>
  <c r="F12" i="5"/>
  <c r="F23"/>
  <c r="F6" i="3"/>
  <c r="C2" i="8"/>
  <c r="E4" i="11"/>
  <c r="F7"/>
  <c r="F30" i="10"/>
  <c r="F25"/>
  <c r="F27"/>
  <c r="F9"/>
  <c r="F2"/>
  <c r="E2"/>
  <c r="E3"/>
  <c r="E4"/>
  <c r="E8"/>
  <c r="E9"/>
  <c r="E10"/>
  <c r="E17"/>
  <c r="F17"/>
  <c r="E20"/>
  <c r="E22"/>
  <c r="F22"/>
  <c r="E23"/>
  <c r="E25"/>
  <c r="E27"/>
  <c r="E30"/>
  <c r="E34"/>
  <c r="F34"/>
  <c r="F29" i="8"/>
  <c r="F26"/>
  <c r="F13"/>
  <c r="F10"/>
  <c r="F8"/>
  <c r="D36"/>
  <c r="G16" s="1"/>
  <c r="F2"/>
  <c r="E2"/>
  <c r="E3"/>
  <c r="E8"/>
  <c r="E10"/>
  <c r="E13"/>
  <c r="E16"/>
  <c r="F16"/>
  <c r="E19"/>
  <c r="E21"/>
  <c r="E24"/>
  <c r="E26"/>
  <c r="E29"/>
  <c r="E32"/>
  <c r="F32"/>
  <c r="F11" i="7"/>
  <c r="D23"/>
  <c r="F23" s="1"/>
  <c r="F6"/>
  <c r="C23"/>
  <c r="C26" s="1"/>
  <c r="C27" s="1"/>
  <c r="D26"/>
  <c r="E3"/>
  <c r="E4"/>
  <c r="E5"/>
  <c r="E8"/>
  <c r="E9"/>
  <c r="E10"/>
  <c r="E17"/>
  <c r="F17"/>
  <c r="E2" i="6"/>
  <c r="D27" i="3"/>
  <c r="F2" i="6"/>
  <c r="F7"/>
  <c r="F9"/>
  <c r="F12"/>
  <c r="F15"/>
  <c r="F18"/>
  <c r="F20"/>
  <c r="F23"/>
  <c r="F25"/>
  <c r="F28"/>
  <c r="F31"/>
  <c r="D35"/>
  <c r="H30" i="1"/>
  <c r="I31" i="2"/>
  <c r="H28"/>
  <c r="G15" i="5"/>
  <c r="J28" i="2"/>
  <c r="E29" i="5"/>
  <c r="E33" i="12" l="1"/>
  <c r="E34" s="1"/>
  <c r="F11" i="13"/>
  <c r="D39"/>
  <c r="E39" s="1"/>
  <c r="E17"/>
  <c r="F17"/>
  <c r="F2"/>
  <c r="E2"/>
  <c r="F23"/>
  <c r="E23"/>
  <c r="D34" i="12"/>
  <c r="F34" s="1"/>
  <c r="F33"/>
  <c r="E24" i="11"/>
  <c r="E33" s="1"/>
  <c r="E34" s="1"/>
  <c r="C38" i="10"/>
  <c r="E38" s="1"/>
  <c r="E11"/>
  <c r="E14"/>
  <c r="E33" i="5"/>
  <c r="F21" i="8"/>
  <c r="F35" i="6"/>
  <c r="E35"/>
  <c r="G20"/>
  <c r="G8" i="1"/>
  <c r="F8"/>
  <c r="E30"/>
  <c r="E36" i="8"/>
  <c r="G15" i="6"/>
  <c r="F36" i="8"/>
  <c r="F23" i="3"/>
  <c r="F24" i="11"/>
  <c r="D34"/>
  <c r="F34" s="1"/>
  <c r="F33"/>
  <c r="G22" i="10"/>
  <c r="G21" i="8"/>
  <c r="D27" i="7"/>
  <c r="F27" s="1"/>
  <c r="F26"/>
  <c r="E6"/>
  <c r="E23"/>
  <c r="E26" s="1"/>
  <c r="E27" s="1"/>
  <c r="F26" i="3"/>
  <c r="C27"/>
  <c r="F39" i="13" l="1"/>
  <c r="F38" i="10"/>
  <c r="F30" i="1"/>
  <c r="G30"/>
  <c r="F27" i="3"/>
</calcChain>
</file>

<file path=xl/sharedStrings.xml><?xml version="1.0" encoding="utf-8"?>
<sst xmlns="http://schemas.openxmlformats.org/spreadsheetml/2006/main" count="631" uniqueCount="175">
  <si>
    <t>Первоначальный план 2009 г.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</si>
  <si>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</si>
  <si>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</si>
  <si>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</si>
  <si>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</si>
  <si>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</si>
  <si>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</si>
  <si>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0114</t>
  </si>
  <si>
    <t>0112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</si>
  <si>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</si>
  <si>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</si>
  <si>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</si>
  <si>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</si>
  <si>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</si>
  <si>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Обеспечение пожарной безопасности</t>
  </si>
  <si>
    <t>Другие вопросы в области национальной экономики</t>
  </si>
  <si>
    <t>0412</t>
  </si>
  <si>
    <t>0409</t>
  </si>
  <si>
    <t>Дорожное хозяйство</t>
  </si>
  <si>
    <t>Коммунальное хозяйство</t>
  </si>
  <si>
    <t>0502</t>
  </si>
  <si>
    <t>0503</t>
  </si>
  <si>
    <t>Благоустройство</t>
  </si>
  <si>
    <t>Молодежная политика и оздоровление детей</t>
  </si>
  <si>
    <t>0707</t>
  </si>
  <si>
    <t>0801</t>
  </si>
  <si>
    <t>МУ ХТО</t>
  </si>
  <si>
    <t>МУК БО</t>
  </si>
  <si>
    <t>0806</t>
  </si>
  <si>
    <t xml:space="preserve">Физическая культура и спорт </t>
  </si>
  <si>
    <t>0908</t>
  </si>
  <si>
    <t>1003</t>
  </si>
  <si>
    <t>Иные межбюджетные трансферты</t>
  </si>
  <si>
    <t>МУ ЦБ</t>
  </si>
  <si>
    <t>ИТОГО</t>
  </si>
  <si>
    <t>Оценка недвижимости, признание прав и регулирование отношений по государственной и муниципальной собственности</t>
  </si>
  <si>
    <t>Сельская целевая программа «Финансирование расходов по территориальным органам местного самоуправления»</t>
  </si>
  <si>
    <t>Наименование</t>
  </si>
  <si>
    <t>Зам. главы администрации Нововеличковского сельского поселения</t>
  </si>
  <si>
    <t>А.В. Акуменко</t>
  </si>
  <si>
    <t>Темп роста план ут  /     план п</t>
  </si>
  <si>
    <t>1104</t>
  </si>
  <si>
    <t>Отклонение</t>
  </si>
  <si>
    <t>План январь-март 2010 г.</t>
  </si>
  <si>
    <t>МУ МКС</t>
  </si>
  <si>
    <t>СЦП "Развитие печатных средств" на 2010 г.</t>
  </si>
  <si>
    <t>Сельская целевая программа «Уточнение записей в похозяйственных книгах» на 2010 г.</t>
  </si>
  <si>
    <t>0804</t>
  </si>
  <si>
    <t>СЦП "Памятные даты"</t>
  </si>
  <si>
    <t>Социальное обеспечение населения СЦП "Старшее поколение"</t>
  </si>
  <si>
    <t>Культура, в т.ч.</t>
  </si>
  <si>
    <t>Другие общегосударственные вопросы, в т.ч.</t>
  </si>
  <si>
    <t>Анализ исполнения расходной части за период 1 квартал 2010 года</t>
  </si>
  <si>
    <t>Исполнение 1 квартал 2010 г.</t>
  </si>
  <si>
    <t>Анализ исполнения расходной части за период 9 месяцев 2010 года</t>
  </si>
  <si>
    <t>План январь-сентябрь 2010 г.</t>
  </si>
  <si>
    <t>План 2010 года</t>
  </si>
  <si>
    <t>Исполнение          9 месяцев                2010 г.</t>
  </si>
  <si>
    <t>МУ ОДА</t>
  </si>
  <si>
    <t>МУ "Культура"</t>
  </si>
  <si>
    <t>МУ "Спорт"</t>
  </si>
  <si>
    <t>% исполнения 9 месяцев</t>
  </si>
  <si>
    <t>% исполнения к годовым назначениям</t>
  </si>
  <si>
    <t xml:space="preserve"> </t>
  </si>
  <si>
    <t>Национальная экономика</t>
  </si>
  <si>
    <t>Код дохода по бюджетной классификации</t>
  </si>
  <si>
    <t>Наименование показателя</t>
  </si>
  <si>
    <t>Утвержденные бюджетные назначения</t>
  </si>
  <si>
    <t>Исполнено</t>
  </si>
  <si>
    <t xml:space="preserve">Неисполненные </t>
  </si>
  <si>
    <t>назначения</t>
  </si>
  <si>
    <t>1 01 02000 01 0000 110</t>
  </si>
  <si>
    <t xml:space="preserve">Налог на доходы физических лиц 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</si>
  <si>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</si>
  <si>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</si>
  <si>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</si>
  <si>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</si>
  <si>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1 06 06000 00 0000 110</t>
  </si>
  <si>
    <t>Земельный налог, всего,</t>
  </si>
  <si>
    <t>в том числе:</t>
  </si>
  <si>
    <t>1 06 06013 10 0000 110</t>
  </si>
  <si>
    <t xml:space="preserve"> - земельный налог, взимаемый по ставке, установленной подпунктом 1 пункта 1 ст 394 НК РФ, (с/хоз)</t>
  </si>
  <si>
    <t>1 06 06023 10 0000 110</t>
  </si>
  <si>
    <t xml:space="preserve"> - земельный налог, взимаемый по ставке, установленной подпунктом 2 пункта 1 ст 394 НК РФ, (не с/хоз)</t>
  </si>
  <si>
    <t>1 09 04050 10 0000 110</t>
  </si>
  <si>
    <t xml:space="preserve"> - 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</si>
  <si>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</si>
  <si>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земли,</t>
  </si>
  <si>
    <t>1 11 05011 10 0021 120</t>
  </si>
  <si>
    <t>1 11 05011 10 0023 120</t>
  </si>
  <si>
    <t>1 11 05011 10 0024 120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</si>
  <si>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</si>
  <si>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 </t>
  </si>
  <si>
    <t>1 14 06014 10 0000 430</t>
  </si>
  <si>
    <t>Доходы от продажи земельных участков, государственная собственность на которые не разграничена</t>
  </si>
  <si>
    <t>1 16 90050 10 0000 140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</si>
  <si>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зачиляемые в бюджеты поселений </t>
  </si>
  <si>
    <t>1 17 01050 10 0000 180</t>
  </si>
  <si>
    <t>Невыясненные поступления, зачисляемые в бюджеты поселений</t>
  </si>
  <si>
    <t>7 562,60</t>
  </si>
  <si>
    <t>1 18 05030 10 000 151</t>
  </si>
  <si>
    <t xml:space="preserve">Доходы  бюджетов поселений от возврата субсидий и субвенций прошлых лет из бюджетов муниципальных районов </t>
  </si>
  <si>
    <t>2 18 05010 10 0000 180</t>
  </si>
  <si>
    <t>Доходы бюджетов поселений от возврата бюджетными учреждениям остатков субсидий прошлых лет</t>
  </si>
  <si>
    <t>2 19 05000 10 0000 151</t>
  </si>
  <si>
    <t>Возврат остатков субсидий и субвенций и иных межбюджетных трансфертов, имеющих целевое назначение прошлых лет, из бюджетов поселений</t>
  </si>
  <si>
    <t>Итого собственных доходов</t>
  </si>
  <si>
    <t>2 02 00000 10 0000 151</t>
  </si>
  <si>
    <t>Безвозмездные поступления</t>
  </si>
  <si>
    <t>Итого доходов</t>
  </si>
  <si>
    <t>ВСЕГО ДОХОДОВ</t>
  </si>
  <si>
    <t>-20 740 395,91</t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</si>
  <si>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сельхоз назначения,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</si>
  <si>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сельских населенных пунктов,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указ-х земельных участков 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</si>
  <si>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промышленности, энергетики, транспорта, связи и земли иного спец. назнач.,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</si>
  <si>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t>% исполнения</t>
  </si>
  <si>
    <t>Код расходов по бюджетной классификации</t>
  </si>
  <si>
    <t>.Наименование показателя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</si>
  <si>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</si>
  <si>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</si>
  <si>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</si>
  <si>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</si>
  <si>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</si>
  <si>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</si>
  <si>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</si>
  <si>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</si>
  <si>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</si>
  <si>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строительства, архитектуры и градостроительства</t>
  </si>
  <si>
    <t>Жилищно-коммунальное хозяйство</t>
  </si>
  <si>
    <t>Образование</t>
  </si>
  <si>
    <t>Культура, кинематография</t>
  </si>
  <si>
    <t>Культура</t>
  </si>
  <si>
    <t>Другие вопросы в области культуры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</si>
  <si>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</si>
  <si>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</si>
  <si>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</si>
  <si>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</si>
  <si>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Средства массовой информации</t>
  </si>
  <si>
    <t>Печать и периодические издательства</t>
  </si>
  <si>
    <t>13 00</t>
  </si>
  <si>
    <t xml:space="preserve">Обслуживание государственного и </t>
  </si>
  <si>
    <t>муниципального долга</t>
  </si>
  <si>
    <t>13 01</t>
  </si>
  <si>
    <t xml:space="preserve">Обслуживание внутреннего </t>
  </si>
  <si>
    <t>государственного и муниципального долга</t>
  </si>
  <si>
    <t>ВСЕГО РАСХОДОВ:</t>
  </si>
  <si>
    <t>% выполнения плана</t>
  </si>
  <si>
    <t>1 17 05050 10 0000 180</t>
  </si>
  <si>
    <t>Прочие неналоговые доходы бюджетов поселений</t>
  </si>
  <si>
    <t>1 09 04053 10 0000 110</t>
  </si>
  <si>
    <t>Другие вопросы в области средств массовой информации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</si>
  <si>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</si>
  <si>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</si>
  <si>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10302230 01 0000 110</t>
  </si>
  <si>
    <t>Обеспечение проведения выборов и референдумов</t>
  </si>
  <si>
    <t>1 06 06033 10 0000 110</t>
  </si>
  <si>
    <t xml:space="preserve"> - земельный налог с организаций, обладающих земельным участком, расположенным в границах сельских поселений</t>
  </si>
  <si>
    <t>1 06 06043 10 0000 110</t>
  </si>
  <si>
    <t xml:space="preserve"> - земельный налог с физических лиц, обладающих земельным участком, расположенным в границах сельских поселений</t>
  </si>
  <si>
    <t>2 07 00000 10 0000 180</t>
  </si>
  <si>
    <t>Прочие безвозмездные поступления</t>
  </si>
  <si>
    <t>Обслуживание государственного и муниципального долга</t>
  </si>
  <si>
    <t>Доходы от уплаты акцизов на нефтепродукты, производимые на территории РФ</t>
  </si>
  <si>
    <t>Прочие межбюджетные трансферты, передаваемые бюджетам сельских поселений</t>
  </si>
  <si>
    <t>2 02 04000 00 0000 151</t>
  </si>
  <si>
    <t>2 02 15001 10 0000 151</t>
  </si>
  <si>
    <t>2 02 29999 10 0000 151</t>
  </si>
  <si>
    <t>Прочиесубсидии бюджетам сельских поселений</t>
  </si>
  <si>
    <t>2 02 30024 10 0000 151</t>
  </si>
  <si>
    <t>Субвенции бюджетов РФ и МО (админ.комиссия)</t>
  </si>
  <si>
    <t>2 02 35118 10 0000 151</t>
  </si>
  <si>
    <t>Субвенции бюджетов РФ и МО (ВУСы)</t>
  </si>
  <si>
    <t>Дотации бюджетам сельских поселений на поддержку мер по обеспечению сбалансированности бюджетов</t>
  </si>
  <si>
    <t>Обучение</t>
  </si>
  <si>
    <t>1 14 02053 10 0000 410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</si>
</sst>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86">
    <xf numFmtId="0" fontId="0" fillId="0" borderId="0" xfId="0"/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vertical="top" wrapText="1"/>
    </xf>
    <xf numFmtId="0" fontId="12" fillId="0" borderId="0" xfId="0" applyFont="1"/>
    <xf numFmtId="164" fontId="4" fillId="0" borderId="6" xfId="1" applyFont="1" applyBorder="1" applyAlignment="1">
      <alignment horizontal="right"/>
    </xf>
    <xf numFmtId="164" fontId="2" fillId="0" borderId="6" xfId="1" applyFont="1" applyBorder="1" applyAlignment="1">
      <alignment horizontal="right"/>
    </xf>
    <xf numFmtId="164" fontId="4" fillId="2" borderId="6" xfId="1" applyFont="1" applyFill="1" applyBorder="1" applyAlignment="1">
      <alignment horizontal="right"/>
    </xf>
    <xf numFmtId="164" fontId="2" fillId="2" borderId="6" xfId="1" applyFont="1" applyFill="1" applyBorder="1" applyAlignment="1">
      <alignment horizontal="right"/>
    </xf>
    <xf numFmtId="164" fontId="0" fillId="0" borderId="0" xfId="1" applyFont="1"/>
    <xf numFmtId="0" fontId="8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justify" vertical="top" wrapText="1"/>
    </xf>
    <xf numFmtId="164" fontId="8" fillId="2" borderId="9" xfId="1" applyFont="1" applyFill="1" applyBorder="1" applyAlignment="1">
      <alignment horizontal="center" wrapText="1"/>
    </xf>
    <xf numFmtId="164" fontId="4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justify" vertical="top"/>
    </xf>
    <xf numFmtId="164" fontId="2" fillId="2" borderId="2" xfId="1" applyFont="1" applyFill="1" applyBorder="1" applyAlignment="1">
      <alignment horizontal="right" vertical="top"/>
    </xf>
    <xf numFmtId="164" fontId="4" fillId="2" borderId="10" xfId="1" applyFont="1" applyFill="1" applyBorder="1" applyAlignment="1">
      <alignment horizontal="right" vertical="top"/>
    </xf>
    <xf numFmtId="164" fontId="4" fillId="2" borderId="11" xfId="1" applyFont="1" applyFill="1" applyBorder="1" applyAlignment="1">
      <alignment horizontal="right" vertical="top"/>
    </xf>
    <xf numFmtId="164" fontId="2" fillId="2" borderId="10" xfId="1" applyFont="1" applyFill="1" applyBorder="1" applyAlignment="1">
      <alignment horizontal="right" vertical="top"/>
    </xf>
    <xf numFmtId="164" fontId="2" fillId="2" borderId="11" xfId="1" applyFont="1" applyFill="1" applyBorder="1" applyAlignment="1">
      <alignment horizontal="right" vertical="top"/>
    </xf>
    <xf numFmtId="164" fontId="2" fillId="3" borderId="0" xfId="1" applyFont="1" applyFill="1" applyAlignment="1">
      <alignment horizontal="right"/>
    </xf>
    <xf numFmtId="164" fontId="2" fillId="3" borderId="9" xfId="1" applyFont="1" applyFill="1" applyBorder="1" applyAlignment="1">
      <alignment horizontal="right"/>
    </xf>
    <xf numFmtId="164" fontId="2" fillId="3" borderId="6" xfId="1" applyFont="1" applyFill="1" applyBorder="1" applyAlignment="1">
      <alignment horizontal="right"/>
    </xf>
    <xf numFmtId="164" fontId="9" fillId="2" borderId="12" xfId="1" applyFont="1" applyFill="1" applyBorder="1" applyAlignment="1">
      <alignment horizontal="center" wrapText="1"/>
    </xf>
    <xf numFmtId="164" fontId="4" fillId="2" borderId="10" xfId="1" applyFont="1" applyFill="1" applyBorder="1" applyAlignment="1">
      <alignment horizontal="center" vertical="top"/>
    </xf>
    <xf numFmtId="164" fontId="0" fillId="0" borderId="1" xfId="1" applyFont="1" applyBorder="1"/>
    <xf numFmtId="164" fontId="9" fillId="0" borderId="13" xfId="1" applyFont="1" applyBorder="1" applyAlignment="1">
      <alignment horizontal="justify" wrapText="1"/>
    </xf>
    <xf numFmtId="164" fontId="9" fillId="0" borderId="10" xfId="1" applyFont="1" applyBorder="1" applyAlignment="1">
      <alignment horizontal="center" wrapText="1"/>
    </xf>
    <xf numFmtId="164" fontId="4" fillId="0" borderId="10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164" fontId="2" fillId="0" borderId="11" xfId="1" applyFont="1" applyBorder="1" applyAlignment="1">
      <alignment horizontal="right"/>
    </xf>
    <xf numFmtId="164" fontId="4" fillId="2" borderId="10" xfId="1" applyFont="1" applyFill="1" applyBorder="1" applyAlignment="1">
      <alignment horizontal="right"/>
    </xf>
    <xf numFmtId="164" fontId="2" fillId="2" borderId="10" xfId="1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wrapText="1"/>
    </xf>
    <xf numFmtId="2" fontId="0" fillId="0" borderId="1" xfId="0" applyNumberFormat="1" applyFont="1" applyBorder="1" applyAlignment="1">
      <alignment wrapText="1"/>
    </xf>
    <xf numFmtId="164" fontId="2" fillId="0" borderId="0" xfId="1" applyFont="1" applyFill="1" applyAlignment="1">
      <alignment horizontal="right"/>
    </xf>
    <xf numFmtId="164" fontId="2" fillId="0" borderId="9" xfId="1" applyFont="1" applyFill="1" applyBorder="1" applyAlignment="1">
      <alignment horizontal="right"/>
    </xf>
    <xf numFmtId="164" fontId="2" fillId="0" borderId="6" xfId="1" applyFont="1" applyFill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0" xfId="1" applyNumberFormat="1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164" fontId="2" fillId="2" borderId="0" xfId="1" applyFont="1" applyFill="1" applyBorder="1" applyAlignment="1">
      <alignment horizontal="right" vertical="top"/>
    </xf>
    <xf numFmtId="164" fontId="2" fillId="2" borderId="17" xfId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64" fontId="0" fillId="0" borderId="1" xfId="1" applyFont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wrapText="1"/>
    </xf>
    <xf numFmtId="164" fontId="4" fillId="0" borderId="6" xfId="1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right" vertical="top"/>
    </xf>
    <xf numFmtId="0" fontId="10" fillId="2" borderId="18" xfId="0" applyFont="1" applyFill="1" applyBorder="1" applyAlignment="1">
      <alignment horizontal="left" vertical="top" wrapText="1"/>
    </xf>
    <xf numFmtId="164" fontId="2" fillId="2" borderId="13" xfId="1" applyFont="1" applyFill="1" applyBorder="1" applyAlignment="1">
      <alignment horizontal="right" vertical="top"/>
    </xf>
    <xf numFmtId="0" fontId="2" fillId="2" borderId="21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left" vertical="top" wrapText="1"/>
    </xf>
    <xf numFmtId="164" fontId="2" fillId="2" borderId="21" xfId="1" applyFont="1" applyFill="1" applyBorder="1" applyAlignment="1">
      <alignment horizontal="right" vertical="top"/>
    </xf>
    <xf numFmtId="164" fontId="2" fillId="2" borderId="22" xfId="1" applyFont="1" applyFill="1" applyBorder="1" applyAlignment="1">
      <alignment horizontal="right" vertical="top"/>
    </xf>
    <xf numFmtId="164" fontId="2" fillId="2" borderId="20" xfId="1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wrapText="1"/>
    </xf>
    <xf numFmtId="0" fontId="16" fillId="0" borderId="0" xfId="0" applyFont="1"/>
    <xf numFmtId="0" fontId="11" fillId="2" borderId="6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justify" vertical="top" wrapText="1"/>
    </xf>
    <xf numFmtId="4" fontId="17" fillId="4" borderId="9" xfId="0" applyNumberFormat="1" applyFont="1" applyFill="1" applyBorder="1" applyAlignment="1">
      <alignment horizontal="right"/>
    </xf>
    <xf numFmtId="164" fontId="2" fillId="4" borderId="6" xfId="1" applyNumberFormat="1" applyFont="1" applyFill="1" applyBorder="1" applyAlignment="1">
      <alignment horizontal="right"/>
    </xf>
    <xf numFmtId="164" fontId="2" fillId="4" borderId="10" xfId="1" applyFont="1" applyFill="1" applyBorder="1" applyAlignment="1">
      <alignment horizontal="right"/>
    </xf>
    <xf numFmtId="2" fontId="16" fillId="4" borderId="1" xfId="0" applyNumberFormat="1" applyFont="1" applyFill="1" applyBorder="1" applyAlignment="1">
      <alignment wrapText="1"/>
    </xf>
    <xf numFmtId="0" fontId="0" fillId="4" borderId="0" xfId="0" applyFont="1" applyFill="1"/>
    <xf numFmtId="0" fontId="14" fillId="4" borderId="2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horizontal="justify" vertical="top" wrapText="1"/>
    </xf>
    <xf numFmtId="4" fontId="17" fillId="4" borderId="6" xfId="0" applyNumberFormat="1" applyFont="1" applyFill="1" applyBorder="1" applyAlignment="1">
      <alignment horizontal="right"/>
    </xf>
    <xf numFmtId="164" fontId="4" fillId="4" borderId="10" xfId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wrapText="1"/>
    </xf>
    <xf numFmtId="0" fontId="0" fillId="4" borderId="0" xfId="0" applyFill="1"/>
    <xf numFmtId="0" fontId="10" fillId="4" borderId="6" xfId="0" applyFont="1" applyFill="1" applyBorder="1" applyAlignment="1">
      <alignment horizontal="left" wrapText="1"/>
    </xf>
    <xf numFmtId="2" fontId="0" fillId="4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10" xfId="1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64" fontId="4" fillId="0" borderId="3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4" fontId="8" fillId="0" borderId="3" xfId="1" applyFont="1" applyBorder="1" applyAlignment="1">
      <alignment horizontal="center" wrapText="1"/>
    </xf>
    <xf numFmtId="164" fontId="8" fillId="0" borderId="2" xfId="1" applyFont="1" applyBorder="1" applyAlignment="1">
      <alignment horizontal="center" wrapText="1"/>
    </xf>
    <xf numFmtId="164" fontId="4" fillId="0" borderId="14" xfId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right" vertical="top"/>
    </xf>
    <xf numFmtId="164" fontId="2" fillId="2" borderId="2" xfId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1" applyFont="1" applyFill="1" applyBorder="1" applyAlignment="1">
      <alignment horizontal="right" vertical="top"/>
    </xf>
    <xf numFmtId="164" fontId="4" fillId="2" borderId="2" xfId="1" applyFont="1" applyFill="1" applyBorder="1" applyAlignment="1">
      <alignment horizontal="right" vertical="top"/>
    </xf>
    <xf numFmtId="2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top" wrapText="1"/>
    </xf>
    <xf numFmtId="164" fontId="4" fillId="2" borderId="18" xfId="1" applyFont="1" applyFill="1" applyBorder="1" applyAlignment="1">
      <alignment horizontal="right" vertical="top"/>
    </xf>
    <xf numFmtId="2" fontId="0" fillId="0" borderId="15" xfId="0" applyNumberFormat="1" applyBorder="1" applyAlignment="1">
      <alignment horizontal="right" wrapText="1"/>
    </xf>
    <xf numFmtId="2" fontId="0" fillId="0" borderId="16" xfId="0" applyNumberFormat="1" applyBorder="1" applyAlignment="1">
      <alignment horizontal="right" wrapText="1"/>
    </xf>
    <xf numFmtId="0" fontId="4" fillId="2" borderId="17" xfId="0" applyFont="1" applyFill="1" applyBorder="1" applyAlignment="1">
      <alignment horizontal="center" vertical="top" wrapText="1"/>
    </xf>
    <xf numFmtId="164" fontId="4" fillId="2" borderId="7" xfId="1" applyFont="1" applyFill="1" applyBorder="1" applyAlignment="1">
      <alignment horizontal="right" vertical="top"/>
    </xf>
    <xf numFmtId="164" fontId="4" fillId="2" borderId="19" xfId="1" applyFont="1" applyFill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G5" sqref="G5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5703125" customWidth="1"/>
    <col min="5" max="6" width="15.28515625" customWidth="1"/>
    <col min="7" max="7" width="12.7109375" customWidth="1"/>
    <col min="8" max="8" width="13.28515625" hidden="1" customWidth="1"/>
  </cols>
  <sheetData>
    <row r="2" spans="1:8" ht="18.75">
      <c r="A2" s="148" t="s">
        <v>52</v>
      </c>
      <c r="B2" s="148"/>
      <c r="C2" s="148"/>
      <c r="D2" s="148"/>
      <c r="E2" s="148"/>
      <c r="F2" s="148"/>
      <c r="G2" s="148"/>
      <c r="H2" s="148"/>
    </row>
    <row r="4" spans="1:8" ht="42.75">
      <c r="A4" s="5" t="s">
        <v>37</v>
      </c>
      <c r="B4" s="6"/>
      <c r="C4" s="7" t="s">
        <v>0</v>
      </c>
      <c r="D4" s="7" t="s">
        <v>43</v>
      </c>
      <c r="E4" s="7" t="s">
        <v>53</v>
      </c>
      <c r="F4" s="7" t="s">
        <v>42</v>
      </c>
      <c r="G4" s="7" t="s">
        <v>1</v>
      </c>
      <c r="H4" s="7" t="s">
        <v>40</v>
      </c>
    </row>
    <row r="5" spans="1:8" ht="30" customHeight="1">
      <c r="A5" s="3" t="s">
        <v>2</v>
      </c>
      <c r="B5" s="8" t="s">
        <v>3</v>
      </c>
      <c r="C5" s="9"/>
      <c r="D5" s="15">
        <v>140700</v>
      </c>
      <c r="E5" s="15">
        <v>135337.38</v>
      </c>
      <c r="F5" s="15">
        <f>D5-E5</f>
        <v>5362.6199999999953</v>
      </c>
      <c r="G5" s="9">
        <f t="shared" ref="G5:G30" si="0">E5/D5*100</f>
        <v>96.188614072494673</v>
      </c>
      <c r="H5" s="9" t="e">
        <f>D5/C5*100</f>
        <v>#DIV/0!</v>
      </c>
    </row>
    <row r="6" spans="1:8" ht="47.25" customHeight="1">
      <c r="A6" s="3" t="s">
        <v>4</v>
      </c>
      <c r="B6" s="8" t="s">
        <v>5</v>
      </c>
      <c r="C6" s="9"/>
      <c r="D6" s="15">
        <v>962500</v>
      </c>
      <c r="E6" s="15">
        <f>614553.87+151824.19+19994.62+43619.39+4048.8+61932.73+25411.1</f>
        <v>921384.70000000007</v>
      </c>
      <c r="F6" s="15">
        <f t="shared" ref="F6:F30" si="1">D6-E6</f>
        <v>41115.29999999993</v>
      </c>
      <c r="G6" s="9">
        <f t="shared" si="0"/>
        <v>95.728280519480521</v>
      </c>
      <c r="H6" s="9" t="e">
        <f t="shared" ref="H6:H30" si="2">D6/C6*100</f>
        <v>#DIV/0!</v>
      </c>
    </row>
    <row r="7" spans="1:8">
      <c r="A7" s="3" t="s">
        <v>6</v>
      </c>
      <c r="B7" s="8" t="s">
        <v>8</v>
      </c>
      <c r="C7" s="9"/>
      <c r="D7" s="15">
        <v>0</v>
      </c>
      <c r="E7" s="15">
        <v>0</v>
      </c>
      <c r="F7" s="15">
        <f t="shared" si="1"/>
        <v>0</v>
      </c>
      <c r="G7" s="10">
        <v>0</v>
      </c>
      <c r="H7" s="9" t="e">
        <f t="shared" si="2"/>
        <v>#DIV/0!</v>
      </c>
    </row>
    <row r="8" spans="1:8" ht="18" customHeight="1">
      <c r="A8" s="3" t="s">
        <v>51</v>
      </c>
      <c r="B8" s="8" t="s">
        <v>7</v>
      </c>
      <c r="C8" s="9"/>
      <c r="D8" s="15">
        <f>D9+D10</f>
        <v>982700</v>
      </c>
      <c r="E8" s="15">
        <f>E9+E10</f>
        <v>818451.92999999993</v>
      </c>
      <c r="F8" s="15">
        <f t="shared" si="1"/>
        <v>164248.07000000007</v>
      </c>
      <c r="G8" s="9">
        <f t="shared" si="0"/>
        <v>83.286041518265989</v>
      </c>
      <c r="H8" s="9" t="e">
        <f t="shared" si="2"/>
        <v>#DIV/0!</v>
      </c>
    </row>
    <row r="9" spans="1:8">
      <c r="A9" s="4" t="s">
        <v>33</v>
      </c>
      <c r="B9" s="8" t="s">
        <v>7</v>
      </c>
      <c r="C9" s="9"/>
      <c r="D9" s="15">
        <v>254700</v>
      </c>
      <c r="E9" s="15">
        <f>129498.85+23604.52+3850+66489.19+438.12</f>
        <v>223880.68</v>
      </c>
      <c r="F9" s="15">
        <f t="shared" si="1"/>
        <v>30819.320000000007</v>
      </c>
      <c r="G9" s="9">
        <f t="shared" si="0"/>
        <v>87.899756576364354</v>
      </c>
      <c r="H9" s="9" t="e">
        <f t="shared" si="2"/>
        <v>#DIV/0!</v>
      </c>
    </row>
    <row r="10" spans="1:8">
      <c r="A10" s="4" t="s">
        <v>26</v>
      </c>
      <c r="B10" s="8" t="s">
        <v>7</v>
      </c>
      <c r="C10" s="9"/>
      <c r="D10" s="15">
        <v>728000</v>
      </c>
      <c r="E10" s="15">
        <f>318171.79+73113.06+26649.1+5132+8794.62+8322.16+40000+114388.52</f>
        <v>594571.24999999988</v>
      </c>
      <c r="F10" s="15">
        <f t="shared" si="1"/>
        <v>133428.75000000012</v>
      </c>
      <c r="G10" s="9">
        <f t="shared" si="0"/>
        <v>81.671874999999986</v>
      </c>
      <c r="H10" s="9" t="e">
        <f t="shared" si="2"/>
        <v>#DIV/0!</v>
      </c>
    </row>
    <row r="11" spans="1:8" ht="43.5" customHeight="1">
      <c r="A11" s="3" t="s">
        <v>35</v>
      </c>
      <c r="B11" s="8" t="s">
        <v>7</v>
      </c>
      <c r="C11" s="9"/>
      <c r="D11" s="15">
        <v>50000</v>
      </c>
      <c r="E11" s="15">
        <v>0</v>
      </c>
      <c r="F11" s="15">
        <f t="shared" si="1"/>
        <v>50000</v>
      </c>
      <c r="G11" s="9">
        <f t="shared" si="0"/>
        <v>0</v>
      </c>
      <c r="H11" s="9" t="e">
        <f t="shared" si="2"/>
        <v>#DIV/0!</v>
      </c>
    </row>
    <row r="12" spans="1:8" ht="30" customHeight="1">
      <c r="A12" s="3" t="s">
        <v>46</v>
      </c>
      <c r="B12" s="8" t="s">
        <v>7</v>
      </c>
      <c r="C12" s="9"/>
      <c r="D12" s="15">
        <v>115400</v>
      </c>
      <c r="E12" s="15">
        <v>115400</v>
      </c>
      <c r="F12" s="15">
        <f t="shared" si="1"/>
        <v>0</v>
      </c>
      <c r="G12" s="9">
        <f t="shared" si="0"/>
        <v>100</v>
      </c>
      <c r="H12" s="9" t="e">
        <f t="shared" si="2"/>
        <v>#DIV/0!</v>
      </c>
    </row>
    <row r="13" spans="1:8" ht="30" customHeight="1">
      <c r="A13" s="3" t="s">
        <v>36</v>
      </c>
      <c r="B13" s="8" t="s">
        <v>7</v>
      </c>
      <c r="C13" s="9"/>
      <c r="D13" s="15">
        <v>20000</v>
      </c>
      <c r="E13" s="15">
        <v>15000</v>
      </c>
      <c r="F13" s="15">
        <f t="shared" si="1"/>
        <v>5000</v>
      </c>
      <c r="G13" s="9">
        <f t="shared" si="0"/>
        <v>75</v>
      </c>
      <c r="H13" s="9" t="e">
        <f t="shared" si="2"/>
        <v>#DIV/0!</v>
      </c>
    </row>
    <row r="14" spans="1:8" ht="15.75" customHeight="1">
      <c r="A14" s="3" t="s">
        <v>9</v>
      </c>
      <c r="B14" s="8" t="s">
        <v>10</v>
      </c>
      <c r="C14" s="9"/>
      <c r="D14" s="15">
        <v>67030</v>
      </c>
      <c r="E14" s="15">
        <f>52307.4+13681.95+53.31</f>
        <v>66042.66</v>
      </c>
      <c r="F14" s="15">
        <f t="shared" si="1"/>
        <v>987.33999999999651</v>
      </c>
      <c r="G14" s="9">
        <f t="shared" si="0"/>
        <v>98.52701775324482</v>
      </c>
      <c r="H14" s="9" t="e">
        <f t="shared" si="2"/>
        <v>#DIV/0!</v>
      </c>
    </row>
    <row r="15" spans="1:8" ht="30.75" customHeight="1">
      <c r="A15" s="3" t="s">
        <v>11</v>
      </c>
      <c r="B15" s="8" t="s">
        <v>12</v>
      </c>
      <c r="C15" s="9"/>
      <c r="D15" s="15">
        <v>70000</v>
      </c>
      <c r="E15" s="15">
        <v>69685</v>
      </c>
      <c r="F15" s="15">
        <f t="shared" si="1"/>
        <v>315</v>
      </c>
      <c r="G15" s="9">
        <f t="shared" si="0"/>
        <v>99.550000000000011</v>
      </c>
      <c r="H15" s="9" t="e">
        <f t="shared" si="2"/>
        <v>#DIV/0!</v>
      </c>
    </row>
    <row r="16" spans="1:8" ht="16.5" customHeight="1">
      <c r="A16" s="3" t="s">
        <v>14</v>
      </c>
      <c r="B16" s="8" t="s">
        <v>13</v>
      </c>
      <c r="C16" s="9"/>
      <c r="D16" s="15">
        <v>9000</v>
      </c>
      <c r="E16" s="15">
        <v>8400</v>
      </c>
      <c r="F16" s="15">
        <f t="shared" si="1"/>
        <v>600</v>
      </c>
      <c r="G16" s="9">
        <f t="shared" si="0"/>
        <v>93.333333333333329</v>
      </c>
      <c r="H16" s="9" t="e">
        <f t="shared" si="2"/>
        <v>#DIV/0!</v>
      </c>
    </row>
    <row r="17" spans="1:8">
      <c r="A17" s="3" t="s">
        <v>18</v>
      </c>
      <c r="B17" s="8" t="s">
        <v>17</v>
      </c>
      <c r="C17" s="9"/>
      <c r="D17" s="15">
        <v>1370000</v>
      </c>
      <c r="E17" s="15">
        <f>768490+200000.01</f>
        <v>968490.01</v>
      </c>
      <c r="F17" s="15">
        <f t="shared" si="1"/>
        <v>401509.99</v>
      </c>
      <c r="G17" s="9">
        <f t="shared" si="0"/>
        <v>70.692701459854007</v>
      </c>
      <c r="H17" s="9" t="e">
        <f t="shared" si="2"/>
        <v>#DIV/0!</v>
      </c>
    </row>
    <row r="18" spans="1:8" ht="16.5" customHeight="1">
      <c r="A18" s="3" t="s">
        <v>15</v>
      </c>
      <c r="B18" s="8" t="s">
        <v>16</v>
      </c>
      <c r="C18" s="9"/>
      <c r="D18" s="15">
        <v>300000</v>
      </c>
      <c r="E18" s="15">
        <v>0</v>
      </c>
      <c r="F18" s="15">
        <f t="shared" si="1"/>
        <v>300000</v>
      </c>
      <c r="G18" s="9">
        <f t="shared" si="0"/>
        <v>0</v>
      </c>
      <c r="H18" s="9" t="e">
        <f t="shared" si="2"/>
        <v>#DIV/0!</v>
      </c>
    </row>
    <row r="19" spans="1:8">
      <c r="A19" s="3" t="s">
        <v>19</v>
      </c>
      <c r="B19" s="8" t="s">
        <v>20</v>
      </c>
      <c r="C19" s="9"/>
      <c r="D19" s="15">
        <v>0</v>
      </c>
      <c r="E19" s="15">
        <v>0</v>
      </c>
      <c r="F19" s="15">
        <f t="shared" si="1"/>
        <v>0</v>
      </c>
      <c r="G19" s="9">
        <v>0</v>
      </c>
      <c r="H19" s="9" t="e">
        <f t="shared" si="2"/>
        <v>#DIV/0!</v>
      </c>
    </row>
    <row r="20" spans="1:8">
      <c r="A20" s="3" t="s">
        <v>22</v>
      </c>
      <c r="B20" s="8" t="s">
        <v>21</v>
      </c>
      <c r="C20" s="9"/>
      <c r="D20" s="15">
        <v>714400</v>
      </c>
      <c r="E20" s="15">
        <f>310081.72+66636+60221.2</f>
        <v>436938.92</v>
      </c>
      <c r="F20" s="15">
        <f t="shared" si="1"/>
        <v>277461.08</v>
      </c>
      <c r="G20" s="9">
        <f t="shared" si="0"/>
        <v>61.161662933930572</v>
      </c>
      <c r="H20" s="9" t="e">
        <f t="shared" si="2"/>
        <v>#DIV/0!</v>
      </c>
    </row>
    <row r="21" spans="1:8" ht="16.5" customHeight="1">
      <c r="A21" s="3" t="s">
        <v>23</v>
      </c>
      <c r="B21" s="8" t="s">
        <v>24</v>
      </c>
      <c r="C21" s="9"/>
      <c r="D21" s="15">
        <v>0</v>
      </c>
      <c r="E21" s="15">
        <v>0</v>
      </c>
      <c r="F21" s="15">
        <f t="shared" si="1"/>
        <v>0</v>
      </c>
      <c r="G21" s="9">
        <v>0</v>
      </c>
      <c r="H21" s="9" t="e">
        <f t="shared" si="2"/>
        <v>#DIV/0!</v>
      </c>
    </row>
    <row r="22" spans="1:8">
      <c r="A22" s="3" t="s">
        <v>50</v>
      </c>
      <c r="B22" s="8" t="s">
        <v>25</v>
      </c>
      <c r="C22" s="9"/>
      <c r="D22" s="15">
        <f>D23+D24</f>
        <v>767700</v>
      </c>
      <c r="E22" s="15">
        <f>E23+E24</f>
        <v>562295.61</v>
      </c>
      <c r="F22" s="15">
        <f t="shared" si="1"/>
        <v>205404.39</v>
      </c>
      <c r="G22" s="9">
        <f t="shared" si="0"/>
        <v>73.24418522860492</v>
      </c>
      <c r="H22" s="9" t="e">
        <f t="shared" si="2"/>
        <v>#DIV/0!</v>
      </c>
    </row>
    <row r="23" spans="1:8">
      <c r="A23" s="4" t="s">
        <v>44</v>
      </c>
      <c r="B23" s="8" t="s">
        <v>25</v>
      </c>
      <c r="C23" s="9"/>
      <c r="D23" s="15">
        <v>492700</v>
      </c>
      <c r="E23" s="15">
        <f>255778.63+2775.66+82588.95+17540.64+10860.18+5000</f>
        <v>374544.06</v>
      </c>
      <c r="F23" s="15">
        <f t="shared" si="1"/>
        <v>118155.94</v>
      </c>
      <c r="G23" s="9">
        <f t="shared" si="0"/>
        <v>76.018684798051552</v>
      </c>
      <c r="H23" s="9" t="e">
        <f t="shared" si="2"/>
        <v>#DIV/0!</v>
      </c>
    </row>
    <row r="24" spans="1:8">
      <c r="A24" s="4" t="s">
        <v>27</v>
      </c>
      <c r="B24" s="8" t="s">
        <v>25</v>
      </c>
      <c r="C24" s="9"/>
      <c r="D24" s="15">
        <v>275000</v>
      </c>
      <c r="E24" s="15">
        <f>108835+2180.36+23670.48+982.14+23076.39+690.84+1841.23+26475.11</f>
        <v>187751.55</v>
      </c>
      <c r="F24" s="15">
        <f t="shared" si="1"/>
        <v>87248.450000000012</v>
      </c>
      <c r="G24" s="9">
        <f t="shared" si="0"/>
        <v>68.273290909090903</v>
      </c>
      <c r="H24" s="9" t="e">
        <f t="shared" si="2"/>
        <v>#DIV/0!</v>
      </c>
    </row>
    <row r="25" spans="1:8" ht="18.75" customHeight="1">
      <c r="A25" s="3" t="s">
        <v>45</v>
      </c>
      <c r="B25" s="8" t="s">
        <v>47</v>
      </c>
      <c r="C25" s="9"/>
      <c r="D25" s="15">
        <v>12000</v>
      </c>
      <c r="E25" s="15">
        <v>0</v>
      </c>
      <c r="F25" s="15">
        <f t="shared" si="1"/>
        <v>12000</v>
      </c>
      <c r="G25" s="9">
        <f t="shared" si="0"/>
        <v>0</v>
      </c>
      <c r="H25" s="9"/>
    </row>
    <row r="26" spans="1:8" ht="18" customHeight="1">
      <c r="A26" s="3" t="s">
        <v>48</v>
      </c>
      <c r="B26" s="8" t="s">
        <v>28</v>
      </c>
      <c r="C26" s="9"/>
      <c r="D26" s="15">
        <v>30600</v>
      </c>
      <c r="E26" s="15">
        <v>12976.8</v>
      </c>
      <c r="F26" s="15">
        <f t="shared" si="1"/>
        <v>17623.2</v>
      </c>
      <c r="G26" s="9">
        <f t="shared" si="0"/>
        <v>42.407843137254901</v>
      </c>
      <c r="H26" s="9" t="e">
        <f t="shared" si="2"/>
        <v>#DIV/0!</v>
      </c>
    </row>
    <row r="27" spans="1:8">
      <c r="A27" s="3" t="s">
        <v>29</v>
      </c>
      <c r="B27" s="8" t="s">
        <v>30</v>
      </c>
      <c r="C27" s="9"/>
      <c r="D27" s="15">
        <v>142200</v>
      </c>
      <c r="E27" s="15">
        <f>4000+12430+53983</f>
        <v>70413</v>
      </c>
      <c r="F27" s="15">
        <f t="shared" si="1"/>
        <v>71787</v>
      </c>
      <c r="G27" s="9">
        <f t="shared" si="0"/>
        <v>49.516877637130804</v>
      </c>
      <c r="H27" s="9" t="e">
        <f t="shared" si="2"/>
        <v>#DIV/0!</v>
      </c>
    </row>
    <row r="28" spans="1:8" ht="31.5" customHeight="1">
      <c r="A28" s="3" t="s">
        <v>49</v>
      </c>
      <c r="B28" s="8" t="s">
        <v>31</v>
      </c>
      <c r="C28" s="9"/>
      <c r="D28" s="15">
        <v>5000</v>
      </c>
      <c r="E28" s="15">
        <v>0</v>
      </c>
      <c r="F28" s="15">
        <f t="shared" si="1"/>
        <v>5000</v>
      </c>
      <c r="G28" s="9">
        <f t="shared" si="0"/>
        <v>0</v>
      </c>
      <c r="H28" s="9" t="e">
        <f t="shared" si="2"/>
        <v>#DIV/0!</v>
      </c>
    </row>
    <row r="29" spans="1:8">
      <c r="A29" s="3" t="s">
        <v>32</v>
      </c>
      <c r="B29" s="8" t="s">
        <v>41</v>
      </c>
      <c r="C29" s="9"/>
      <c r="D29" s="15">
        <v>118800</v>
      </c>
      <c r="E29" s="15">
        <v>118650</v>
      </c>
      <c r="F29" s="15">
        <f t="shared" si="1"/>
        <v>150</v>
      </c>
      <c r="G29" s="9">
        <f t="shared" si="0"/>
        <v>99.87373737373737</v>
      </c>
      <c r="H29" s="9" t="e">
        <f t="shared" si="2"/>
        <v>#DIV/0!</v>
      </c>
    </row>
    <row r="30" spans="1:8">
      <c r="A30" s="11" t="s">
        <v>34</v>
      </c>
      <c r="B30" s="12"/>
      <c r="C30" s="13"/>
      <c r="D30" s="16">
        <f>D5+D6+D7+D8+D11+D12+D13+D14+D15+D16+D17+D18+D19+D20+D21+D22+D25+D26+D27+D28+D29</f>
        <v>5878030</v>
      </c>
      <c r="E30" s="16">
        <f>E5+E6+E7+E8+E11+E12+E13+E14+E15+E16+E17+E18+E19+E20+E21+E22+E25+E26+E27+E28+E29</f>
        <v>4319466.01</v>
      </c>
      <c r="F30" s="16">
        <f t="shared" si="1"/>
        <v>1558563.9900000002</v>
      </c>
      <c r="G30" s="13">
        <f t="shared" si="0"/>
        <v>73.484926242295458</v>
      </c>
      <c r="H30" s="13" t="e">
        <f t="shared" si="2"/>
        <v>#DIV/0!</v>
      </c>
    </row>
    <row r="32" spans="1:8" ht="17.25" customHeight="1">
      <c r="A32" s="149" t="s">
        <v>38</v>
      </c>
      <c r="B32" s="149"/>
      <c r="C32" s="149"/>
      <c r="D32" s="14"/>
      <c r="E32" s="150" t="s">
        <v>39</v>
      </c>
      <c r="F32" s="150"/>
      <c r="G32" s="150"/>
      <c r="H32" s="150"/>
    </row>
  </sheetData>
  <mergeCells count="3">
    <mergeCell ref="A2:H2"/>
    <mergeCell ref="A32:C32"/>
    <mergeCell ref="E32:H32"/>
  </mergeCells>
  <phoneticPr fontId="13" type="noConversion"/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topLeftCell="A22" workbookViewId="0">
      <selection activeCell="A22"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57" t="s">
        <v>65</v>
      </c>
      <c r="B1" s="159" t="s">
        <v>66</v>
      </c>
      <c r="C1" s="175" t="s">
        <v>67</v>
      </c>
      <c r="D1" s="161" t="s">
        <v>68</v>
      </c>
      <c r="E1" s="57" t="s">
        <v>69</v>
      </c>
      <c r="F1" s="64" t="s">
        <v>115</v>
      </c>
    </row>
    <row r="2" spans="1:6" ht="15.75" thickBot="1">
      <c r="A2" s="158"/>
      <c r="B2" s="160"/>
      <c r="C2" s="176"/>
      <c r="D2" s="162"/>
      <c r="E2" s="58" t="s">
        <v>70</v>
      </c>
      <c r="F2" s="64"/>
    </row>
    <row r="3" spans="1:6" ht="41.25" customHeight="1" thickBot="1">
      <c r="A3" s="115" t="s">
        <v>153</v>
      </c>
      <c r="B3" s="119" t="s">
        <v>162</v>
      </c>
      <c r="C3" s="98">
        <f>2300000+23000+2967500</f>
        <v>5290500</v>
      </c>
      <c r="D3" s="99">
        <f>563939.49+3801.71+918644.17-117491.91</f>
        <v>1368893.4600000002</v>
      </c>
      <c r="E3" s="59">
        <f>C3-D3</f>
        <v>3921606.54</v>
      </c>
      <c r="F3" s="65">
        <f>D3/C3*100</f>
        <v>25.874557414233063</v>
      </c>
    </row>
    <row r="4" spans="1:6" ht="38.25" customHeight="1" thickBot="1">
      <c r="A4" s="114" t="s">
        <v>71</v>
      </c>
      <c r="B4" s="21" t="s">
        <v>72</v>
      </c>
      <c r="C4" s="77">
        <v>9600000</v>
      </c>
      <c r="D4" s="28">
        <f>1947030.98+218.14+24691.99+5528.87</f>
        <v>1977469.98</v>
      </c>
      <c r="E4" s="59">
        <f>C4-D4</f>
        <v>7622530.0199999996</v>
      </c>
      <c r="F4" s="65">
        <f>D4/C4*100</f>
        <v>20.598645625</v>
      </c>
    </row>
    <row r="5" spans="1:6" ht="25.5" customHeight="1" thickBot="1">
      <c r="A5" s="114" t="s">
        <v>73</v>
      </c>
      <c r="B5" s="21" t="s">
        <v>74</v>
      </c>
      <c r="C5" s="77">
        <v>2634000</v>
      </c>
      <c r="D5" s="28">
        <v>1758073.46</v>
      </c>
      <c r="E5" s="59">
        <f>C5-D5</f>
        <v>875926.54</v>
      </c>
      <c r="F5" s="65">
        <f>D5/C5*100</f>
        <v>66.745385725132877</v>
      </c>
    </row>
    <row r="6" spans="1:6" ht="19.5" customHeight="1" thickBot="1">
      <c r="A6" s="114" t="s">
        <v>75</v>
      </c>
      <c r="B6" s="21" t="s">
        <v>76</v>
      </c>
      <c r="C6" s="77">
        <v>1660000</v>
      </c>
      <c r="D6" s="28">
        <v>175951.54</v>
      </c>
      <c r="E6" s="59">
        <f>C6-D6</f>
        <v>1484048.46</v>
      </c>
      <c r="F6" s="65">
        <f>D6/C6*100</f>
        <v>10.599490361445783</v>
      </c>
    </row>
    <row r="7" spans="1:6" ht="13.5" customHeight="1">
      <c r="A7" s="153" t="s">
        <v>77</v>
      </c>
      <c r="B7" s="22" t="s">
        <v>78</v>
      </c>
      <c r="C7" s="177">
        <f>SUM(C9:C10)</f>
        <v>10273500</v>
      </c>
      <c r="D7" s="155">
        <f>SUM(D9:D11)</f>
        <v>3641050.02</v>
      </c>
      <c r="E7" s="155">
        <f>SUM(E9:E11)</f>
        <v>6632449.9800000004</v>
      </c>
      <c r="F7" s="181">
        <f t="shared" ref="F7:F34" si="0">D7/C7*100</f>
        <v>35.441183822455834</v>
      </c>
    </row>
    <row r="8" spans="1:6" ht="13.5" customHeight="1" thickBot="1">
      <c r="A8" s="154"/>
      <c r="B8" s="21" t="s">
        <v>79</v>
      </c>
      <c r="C8" s="178"/>
      <c r="D8" s="156"/>
      <c r="E8" s="156"/>
      <c r="F8" s="182"/>
    </row>
    <row r="9" spans="1:6" ht="47.25" customHeight="1" thickBot="1">
      <c r="A9" s="114" t="s">
        <v>155</v>
      </c>
      <c r="B9" s="23" t="s">
        <v>156</v>
      </c>
      <c r="C9" s="78">
        <v>5565500</v>
      </c>
      <c r="D9" s="29">
        <v>3324090.77</v>
      </c>
      <c r="E9" s="59">
        <f>C9-D9</f>
        <v>2241409.23</v>
      </c>
      <c r="F9" s="65">
        <f t="shared" si="0"/>
        <v>59.726723025783848</v>
      </c>
    </row>
    <row r="10" spans="1:6" ht="45.75" thickBot="1">
      <c r="A10" s="114" t="s">
        <v>157</v>
      </c>
      <c r="B10" s="23" t="s">
        <v>158</v>
      </c>
      <c r="C10" s="78">
        <v>4708000</v>
      </c>
      <c r="D10" s="29">
        <v>316959.25</v>
      </c>
      <c r="E10" s="59">
        <f>C10-D10</f>
        <v>4391040.75</v>
      </c>
      <c r="F10" s="65">
        <f t="shared" si="0"/>
        <v>6.7323545029736618</v>
      </c>
    </row>
    <row r="11" spans="1:6" ht="23.25" thickBot="1">
      <c r="A11" s="114" t="s">
        <v>149</v>
      </c>
      <c r="B11" s="23" t="s">
        <v>85</v>
      </c>
      <c r="C11" s="78">
        <v>0</v>
      </c>
      <c r="D11" s="29">
        <v>0</v>
      </c>
      <c r="E11" s="59">
        <f>C11-D11</f>
        <v>0</v>
      </c>
      <c r="F11" s="65" t="e">
        <f t="shared" si="0"/>
        <v>#DIV/0!</v>
      </c>
    </row>
    <row r="12" spans="1:6" ht="21">
      <c r="A12" s="153" t="s">
        <v>86</v>
      </c>
      <c r="B12" s="22" t="s">
        <v>87</v>
      </c>
      <c r="C12" s="177">
        <f>SUM(C14:C16)</f>
        <v>0</v>
      </c>
      <c r="D12" s="155">
        <v>0</v>
      </c>
      <c r="E12" s="155">
        <f>SUM(E14:E16)</f>
        <v>0</v>
      </c>
      <c r="F12" s="173" t="e">
        <f t="shared" si="0"/>
        <v>#DIV/0!</v>
      </c>
    </row>
    <row r="13" spans="1:6" ht="15.75" customHeight="1" thickBot="1">
      <c r="A13" s="154"/>
      <c r="B13" s="21" t="s">
        <v>79</v>
      </c>
      <c r="C13" s="178"/>
      <c r="D13" s="156"/>
      <c r="E13" s="156"/>
      <c r="F13" s="174"/>
    </row>
    <row r="14" spans="1:6" ht="38.25" customHeight="1" thickBot="1">
      <c r="A14" s="114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 t="e">
        <f t="shared" si="0"/>
        <v>#DIV/0!</v>
      </c>
    </row>
    <row r="15" spans="1:6" ht="48" customHeight="1" thickBot="1">
      <c r="A15" s="114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 t="e">
        <f t="shared" si="0"/>
        <v>#DIV/0!</v>
      </c>
    </row>
    <row r="16" spans="1:6" ht="43.5" customHeight="1" thickBot="1">
      <c r="A16" s="114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 t="e">
        <f t="shared" si="0"/>
        <v>#DIV/0!</v>
      </c>
    </row>
    <row r="17" spans="1:6" ht="36" customHeight="1" thickBot="1">
      <c r="A17" s="114" t="s">
        <v>91</v>
      </c>
      <c r="B17" s="21" t="s">
        <v>92</v>
      </c>
      <c r="C17" s="77">
        <v>36780</v>
      </c>
      <c r="D17" s="28">
        <v>0</v>
      </c>
      <c r="E17" s="59">
        <f t="shared" si="1"/>
        <v>36780</v>
      </c>
      <c r="F17" s="65">
        <f t="shared" si="0"/>
        <v>0</v>
      </c>
    </row>
    <row r="18" spans="1:6" ht="33.75" customHeight="1" thickBot="1">
      <c r="A18" s="114" t="s">
        <v>93</v>
      </c>
      <c r="B18" s="24" t="s">
        <v>94</v>
      </c>
      <c r="C18" s="79">
        <v>0</v>
      </c>
      <c r="D18" s="30">
        <v>0</v>
      </c>
      <c r="E18" s="59">
        <f t="shared" si="1"/>
        <v>0</v>
      </c>
      <c r="F18" s="65" t="e">
        <f t="shared" si="0"/>
        <v>#DIV/0!</v>
      </c>
    </row>
    <row r="19" spans="1:6" ht="55.5" customHeight="1" thickBot="1">
      <c r="A19" s="114" t="s">
        <v>95</v>
      </c>
      <c r="B19" s="25" t="s">
        <v>96</v>
      </c>
      <c r="C19" s="77">
        <v>15000</v>
      </c>
      <c r="D19" s="28">
        <v>0</v>
      </c>
      <c r="E19" s="59">
        <f t="shared" si="1"/>
        <v>15000</v>
      </c>
      <c r="F19" s="65">
        <f t="shared" si="0"/>
        <v>0</v>
      </c>
    </row>
    <row r="20" spans="1:6" ht="24.75" customHeight="1" thickBot="1">
      <c r="A20" s="114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28.5" customHeight="1" thickBot="1">
      <c r="A21" s="114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3.75" customHeight="1" thickBot="1">
      <c r="A22" s="114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37.5" customHeight="1" thickBot="1">
      <c r="A23" s="114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 t="e">
        <f t="shared" si="0"/>
        <v>#DIV/0!</v>
      </c>
    </row>
    <row r="24" spans="1:6" ht="15.75" customHeight="1" thickBot="1">
      <c r="A24" s="151" t="s">
        <v>106</v>
      </c>
      <c r="B24" s="152"/>
      <c r="C24" s="79">
        <f>C18+C17+C12+C7+C6+C5+C4+C3+C19+C20</f>
        <v>29509780</v>
      </c>
      <c r="D24" s="79">
        <f>D18+D17+D12+D7+D6+D5+D4+D3+D19+D20</f>
        <v>8921438.4600000009</v>
      </c>
      <c r="E24" s="79">
        <f>E18+E17+E12+E7+E6+E5+E4+E3+E20+E19</f>
        <v>20588341.539999999</v>
      </c>
      <c r="F24" s="65">
        <f t="shared" si="0"/>
        <v>30.232141547649633</v>
      </c>
    </row>
    <row r="25" spans="1:6" s="118" customFormat="1" ht="16.5" thickBot="1">
      <c r="A25" s="116" t="s">
        <v>107</v>
      </c>
      <c r="B25" s="24" t="s">
        <v>108</v>
      </c>
      <c r="C25" s="79">
        <f>C26+C27+C28+C29+C30+C31+C32</f>
        <v>9313400</v>
      </c>
      <c r="D25" s="79">
        <f>D26+D27+D28+D29+D30+D31+D32</f>
        <v>535091.29</v>
      </c>
      <c r="E25" s="59">
        <f>C25-D25</f>
        <v>8778308.7100000009</v>
      </c>
      <c r="F25" s="117">
        <f t="shared" si="0"/>
        <v>5.7453914789443168</v>
      </c>
    </row>
    <row r="26" spans="1:6" s="18" customFormat="1" ht="34.5" thickBot="1">
      <c r="A26" s="143" t="s">
        <v>165</v>
      </c>
      <c r="B26" s="26" t="s">
        <v>172</v>
      </c>
      <c r="C26" s="80">
        <v>539600</v>
      </c>
      <c r="D26" s="80">
        <v>0</v>
      </c>
      <c r="E26" s="60">
        <f>C26-D26</f>
        <v>539600</v>
      </c>
      <c r="F26" s="73">
        <f t="shared" si="0"/>
        <v>0</v>
      </c>
    </row>
    <row r="27" spans="1:6" s="132" customFormat="1" ht="28.5" customHeight="1" thickBot="1">
      <c r="A27" s="144" t="s">
        <v>166</v>
      </c>
      <c r="B27" s="127" t="s">
        <v>167</v>
      </c>
      <c r="C27" s="128">
        <v>8138300</v>
      </c>
      <c r="D27" s="129">
        <v>245158.64</v>
      </c>
      <c r="E27" s="130">
        <f>C27-D27</f>
        <v>7893141.3600000003</v>
      </c>
      <c r="F27" s="131">
        <f t="shared" si="0"/>
        <v>3.0124060307435214</v>
      </c>
    </row>
    <row r="28" spans="1:6" s="132" customFormat="1" ht="30.75" customHeight="1" thickBot="1">
      <c r="A28" s="133" t="s">
        <v>168</v>
      </c>
      <c r="B28" s="134" t="s">
        <v>169</v>
      </c>
      <c r="C28" s="135">
        <v>7600</v>
      </c>
      <c r="D28" s="129"/>
      <c r="E28" s="130">
        <f t="shared" ref="E28:E29" si="2">C28-D28</f>
        <v>7600</v>
      </c>
      <c r="F28" s="131"/>
    </row>
    <row r="29" spans="1:6" s="132" customFormat="1" ht="30.75" customHeight="1" thickBot="1">
      <c r="A29" s="133" t="s">
        <v>170</v>
      </c>
      <c r="B29" s="134" t="s">
        <v>171</v>
      </c>
      <c r="C29" s="135">
        <v>402100</v>
      </c>
      <c r="D29" s="129">
        <v>64132.65</v>
      </c>
      <c r="E29" s="130">
        <f t="shared" si="2"/>
        <v>337967.35</v>
      </c>
      <c r="F29" s="131"/>
    </row>
    <row r="30" spans="1:6" s="132" customFormat="1" ht="33.75" customHeight="1" thickBot="1">
      <c r="A30" s="133" t="s">
        <v>164</v>
      </c>
      <c r="B30" s="134" t="s">
        <v>163</v>
      </c>
      <c r="C30" s="135">
        <v>225800</v>
      </c>
      <c r="D30" s="129">
        <v>225800</v>
      </c>
      <c r="E30" s="136">
        <f>C30-D30</f>
        <v>0</v>
      </c>
      <c r="F30" s="131">
        <f t="shared" si="0"/>
        <v>100</v>
      </c>
    </row>
    <row r="31" spans="1:6" s="140" customFormat="1" ht="16.5" thickBot="1">
      <c r="A31" s="137" t="s">
        <v>159</v>
      </c>
      <c r="B31" s="138" t="s">
        <v>160</v>
      </c>
      <c r="C31" s="129">
        <v>0</v>
      </c>
      <c r="D31" s="129">
        <v>0</v>
      </c>
      <c r="E31" s="136">
        <f>C31-D31</f>
        <v>0</v>
      </c>
      <c r="F31" s="139" t="e">
        <f t="shared" ref="F31" si="3">D31/C31*100</f>
        <v>#DIV/0!</v>
      </c>
    </row>
    <row r="32" spans="1:6" s="132" customFormat="1" ht="47.25" customHeight="1" thickBot="1">
      <c r="A32" s="137" t="s">
        <v>104</v>
      </c>
      <c r="B32" s="141" t="s">
        <v>105</v>
      </c>
      <c r="C32" s="129">
        <v>0</v>
      </c>
      <c r="D32" s="129">
        <v>0</v>
      </c>
      <c r="E32" s="130">
        <f>C32-D32</f>
        <v>0</v>
      </c>
      <c r="F32" s="142" t="e">
        <f>D32/C32*100</f>
        <v>#DIV/0!</v>
      </c>
    </row>
    <row r="33" spans="1:6" ht="16.5" thickBot="1">
      <c r="A33" s="151" t="s">
        <v>109</v>
      </c>
      <c r="B33" s="152"/>
      <c r="C33" s="79">
        <f>C24++C25+C31+C32</f>
        <v>38823180</v>
      </c>
      <c r="D33" s="79">
        <f>D24++D25+D31+D32</f>
        <v>9456529.75</v>
      </c>
      <c r="E33" s="79">
        <f>E24++E25+E31+E32</f>
        <v>29366650.25</v>
      </c>
      <c r="F33" s="65">
        <f t="shared" si="0"/>
        <v>24.357947365465684</v>
      </c>
    </row>
    <row r="34" spans="1:6" ht="28.5" customHeight="1" thickBot="1">
      <c r="A34" s="151" t="s">
        <v>110</v>
      </c>
      <c r="B34" s="152"/>
      <c r="C34" s="79">
        <f>C33</f>
        <v>38823180</v>
      </c>
      <c r="D34" s="30">
        <f t="shared" ref="D34:E34" si="4">D33</f>
        <v>9456529.75</v>
      </c>
      <c r="E34" s="30">
        <f t="shared" si="4"/>
        <v>29366650.25</v>
      </c>
      <c r="F34" s="65">
        <f t="shared" si="0"/>
        <v>24.357947365465684</v>
      </c>
    </row>
  </sheetData>
  <mergeCells count="17">
    <mergeCell ref="A24:B24"/>
    <mergeCell ref="A33:B33"/>
    <mergeCell ref="A34:B34"/>
    <mergeCell ref="E7:E8"/>
    <mergeCell ref="F7:F8"/>
    <mergeCell ref="A12:A13"/>
    <mergeCell ref="C12:C13"/>
    <mergeCell ref="D12:D13"/>
    <mergeCell ref="E12:E13"/>
    <mergeCell ref="F12:F13"/>
    <mergeCell ref="A1:A2"/>
    <mergeCell ref="B1:B2"/>
    <mergeCell ref="C1:C2"/>
    <mergeCell ref="D1:D2"/>
    <mergeCell ref="A7:A8"/>
    <mergeCell ref="C7:C8"/>
    <mergeCell ref="D7:D8"/>
  </mergeCells>
  <pageMargins left="0.7" right="0.7" top="0.75" bottom="0.75" header="0.3" footer="0.3"/>
  <pageSetup paperSize="9" scale="7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1" sqref="F1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57" t="s">
        <v>65</v>
      </c>
      <c r="B1" s="159" t="s">
        <v>66</v>
      </c>
      <c r="C1" s="175" t="s">
        <v>67</v>
      </c>
      <c r="D1" s="161" t="s">
        <v>68</v>
      </c>
      <c r="E1" s="57" t="s">
        <v>69</v>
      </c>
      <c r="F1" s="64" t="s">
        <v>115</v>
      </c>
    </row>
    <row r="2" spans="1:6" ht="15.75" thickBot="1">
      <c r="A2" s="158"/>
      <c r="B2" s="160"/>
      <c r="C2" s="176"/>
      <c r="D2" s="162"/>
      <c r="E2" s="58" t="s">
        <v>70</v>
      </c>
      <c r="F2" s="64"/>
    </row>
    <row r="3" spans="1:6" ht="41.25" customHeight="1" thickBot="1">
      <c r="A3" s="122" t="s">
        <v>153</v>
      </c>
      <c r="B3" s="119" t="s">
        <v>162</v>
      </c>
      <c r="C3" s="98">
        <f>2300000+23000+2963300</f>
        <v>5286300</v>
      </c>
      <c r="D3" s="99">
        <f>750601.09+5244.45+1100536.09-147724</f>
        <v>1708657.63</v>
      </c>
      <c r="E3" s="59">
        <f>C3-D3</f>
        <v>3577642.37</v>
      </c>
      <c r="F3" s="65">
        <f>D3/C3*100</f>
        <v>32.322373493747989</v>
      </c>
    </row>
    <row r="4" spans="1:6" ht="38.25" customHeight="1" thickBot="1">
      <c r="A4" s="121" t="s">
        <v>71</v>
      </c>
      <c r="B4" s="21" t="s">
        <v>72</v>
      </c>
      <c r="C4" s="77">
        <v>11110000</v>
      </c>
      <c r="D4" s="28">
        <v>2334383.16</v>
      </c>
      <c r="E4" s="59">
        <f>C4-D4</f>
        <v>8775616.8399999999</v>
      </c>
      <c r="F4" s="65">
        <f>D4/C4*100</f>
        <v>21.011549594959497</v>
      </c>
    </row>
    <row r="5" spans="1:6" ht="25.5" customHeight="1" thickBot="1">
      <c r="A5" s="121" t="s">
        <v>73</v>
      </c>
      <c r="B5" s="21" t="s">
        <v>74</v>
      </c>
      <c r="C5" s="77">
        <v>2725000</v>
      </c>
      <c r="D5" s="28">
        <v>1139412.1299999999</v>
      </c>
      <c r="E5" s="59">
        <f>C5-D5</f>
        <v>1585587.87</v>
      </c>
      <c r="F5" s="65">
        <f>D5/C5*100</f>
        <v>41.813289174311926</v>
      </c>
    </row>
    <row r="6" spans="1:6" ht="19.5" customHeight="1" thickBot="1">
      <c r="A6" s="121" t="s">
        <v>75</v>
      </c>
      <c r="B6" s="21" t="s">
        <v>76</v>
      </c>
      <c r="C6" s="77">
        <v>4600000</v>
      </c>
      <c r="D6" s="28">
        <v>121151.24</v>
      </c>
      <c r="E6" s="59">
        <f>C6-D6</f>
        <v>4478848.76</v>
      </c>
      <c r="F6" s="65">
        <f>D6/C6*100</f>
        <v>2.6337226086956522</v>
      </c>
    </row>
    <row r="7" spans="1:6" ht="13.5" customHeight="1">
      <c r="A7" s="153" t="s">
        <v>77</v>
      </c>
      <c r="B7" s="22" t="s">
        <v>78</v>
      </c>
      <c r="C7" s="177">
        <f>SUM(C9:C10)</f>
        <v>11075000</v>
      </c>
      <c r="D7" s="155">
        <f>SUM(D9:D10)</f>
        <v>1561684.24</v>
      </c>
      <c r="E7" s="155">
        <f>SUM(E9:E11)</f>
        <v>9513315.7599999998</v>
      </c>
      <c r="F7" s="181">
        <f t="shared" ref="F7:F34" si="0">D7/C7*100</f>
        <v>14.100986365688486</v>
      </c>
    </row>
    <row r="8" spans="1:6" ht="13.5" customHeight="1" thickBot="1">
      <c r="A8" s="154"/>
      <c r="B8" s="21" t="s">
        <v>79</v>
      </c>
      <c r="C8" s="178"/>
      <c r="D8" s="156"/>
      <c r="E8" s="156"/>
      <c r="F8" s="182"/>
    </row>
    <row r="9" spans="1:6" ht="47.25" customHeight="1" thickBot="1">
      <c r="A9" s="121" t="s">
        <v>155</v>
      </c>
      <c r="B9" s="23" t="s">
        <v>156</v>
      </c>
      <c r="C9" s="78">
        <v>5590000</v>
      </c>
      <c r="D9" s="29">
        <v>1413493.9</v>
      </c>
      <c r="E9" s="59">
        <f>C9-D9</f>
        <v>4176506.1</v>
      </c>
      <c r="F9" s="65">
        <f t="shared" si="0"/>
        <v>25.286116279069766</v>
      </c>
    </row>
    <row r="10" spans="1:6" ht="45.75" thickBot="1">
      <c r="A10" s="121" t="s">
        <v>157</v>
      </c>
      <c r="B10" s="23" t="s">
        <v>158</v>
      </c>
      <c r="C10" s="78">
        <v>5485000</v>
      </c>
      <c r="D10" s="29">
        <v>148190.34</v>
      </c>
      <c r="E10" s="59">
        <f>C10-D10</f>
        <v>5336809.66</v>
      </c>
      <c r="F10" s="65">
        <f t="shared" si="0"/>
        <v>2.7017381950774841</v>
      </c>
    </row>
    <row r="11" spans="1:6" ht="23.25" thickBot="1">
      <c r="A11" s="121" t="s">
        <v>149</v>
      </c>
      <c r="B11" s="23" t="s">
        <v>85</v>
      </c>
      <c r="C11" s="78">
        <v>0</v>
      </c>
      <c r="D11" s="29">
        <v>54.22</v>
      </c>
      <c r="E11" s="59"/>
      <c r="F11" s="65"/>
    </row>
    <row r="12" spans="1:6" ht="21">
      <c r="A12" s="153" t="s">
        <v>86</v>
      </c>
      <c r="B12" s="22" t="s">
        <v>87</v>
      </c>
      <c r="C12" s="177">
        <f>SUM(C14:C16)</f>
        <v>0</v>
      </c>
      <c r="D12" s="155">
        <v>0</v>
      </c>
      <c r="E12" s="155">
        <f>SUM(E14:E16)</f>
        <v>0</v>
      </c>
      <c r="F12" s="173"/>
    </row>
    <row r="13" spans="1:6" ht="15.75" customHeight="1" thickBot="1">
      <c r="A13" s="154"/>
      <c r="B13" s="21" t="s">
        <v>79</v>
      </c>
      <c r="C13" s="178"/>
      <c r="D13" s="156"/>
      <c r="E13" s="156"/>
      <c r="F13" s="174"/>
    </row>
    <row r="14" spans="1:6" ht="38.25" customHeight="1" thickBot="1">
      <c r="A14" s="121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/>
    </row>
    <row r="15" spans="1:6" ht="48" customHeight="1" thickBot="1">
      <c r="A15" s="121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/>
    </row>
    <row r="16" spans="1:6" ht="43.5" customHeight="1" thickBot="1">
      <c r="A16" s="121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/>
    </row>
    <row r="17" spans="1:6" ht="36" customHeight="1" thickBot="1">
      <c r="A17" s="121" t="s">
        <v>91</v>
      </c>
      <c r="B17" s="21" t="s">
        <v>92</v>
      </c>
      <c r="C17" s="77">
        <v>35446</v>
      </c>
      <c r="D17" s="28">
        <v>5000</v>
      </c>
      <c r="E17" s="59">
        <f t="shared" si="1"/>
        <v>30446</v>
      </c>
      <c r="F17" s="65">
        <f t="shared" si="0"/>
        <v>14.105964001579869</v>
      </c>
    </row>
    <row r="18" spans="1:6" ht="33.75" customHeight="1" thickBot="1">
      <c r="A18" s="145" t="s">
        <v>174</v>
      </c>
      <c r="B18" s="24" t="s">
        <v>94</v>
      </c>
      <c r="C18" s="79">
        <v>0</v>
      </c>
      <c r="D18" s="30">
        <v>-126000</v>
      </c>
      <c r="E18" s="59"/>
      <c r="F18" s="65"/>
    </row>
    <row r="19" spans="1:6" ht="55.5" customHeight="1" thickBot="1">
      <c r="A19" s="121" t="s">
        <v>95</v>
      </c>
      <c r="B19" s="25" t="s">
        <v>96</v>
      </c>
      <c r="C19" s="77">
        <v>10000</v>
      </c>
      <c r="D19" s="28">
        <v>5000</v>
      </c>
      <c r="E19" s="59">
        <f t="shared" si="1"/>
        <v>5000</v>
      </c>
      <c r="F19" s="65">
        <f t="shared" si="0"/>
        <v>50</v>
      </c>
    </row>
    <row r="20" spans="1:6" ht="24.75" customHeight="1" thickBot="1">
      <c r="A20" s="121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/>
    </row>
    <row r="21" spans="1:6" ht="28.5" customHeight="1" thickBot="1">
      <c r="A21" s="121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/>
    </row>
    <row r="22" spans="1:6" ht="33.75" customHeight="1" thickBot="1">
      <c r="A22" s="121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/>
    </row>
    <row r="23" spans="1:6" ht="37.5" customHeight="1" thickBot="1">
      <c r="A23" s="121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/>
    </row>
    <row r="24" spans="1:6" ht="15.75" customHeight="1" thickBot="1">
      <c r="A24" s="151" t="s">
        <v>106</v>
      </c>
      <c r="B24" s="152"/>
      <c r="C24" s="79">
        <f>C18+C17+C12+C7+C6+C5+C4+C3+C19+C20</f>
        <v>34841746</v>
      </c>
      <c r="D24" s="79">
        <f>D18+D17+D12+D7+D6+D5+D4+D3+D19+D20+D11</f>
        <v>6749342.6199999992</v>
      </c>
      <c r="E24" s="79">
        <f>E18+E17+E12+E7+E6+E5+E4+E3+E20+E19</f>
        <v>27966457.600000001</v>
      </c>
      <c r="F24" s="65">
        <f t="shared" si="0"/>
        <v>19.371424784509937</v>
      </c>
    </row>
    <row r="25" spans="1:6" s="118" customFormat="1" ht="16.5" thickBot="1">
      <c r="A25" s="116" t="s">
        <v>107</v>
      </c>
      <c r="B25" s="24" t="s">
        <v>108</v>
      </c>
      <c r="C25" s="79">
        <f>C26+C27+C28+C29+C30+C31+C32</f>
        <v>4787700</v>
      </c>
      <c r="D25" s="79">
        <f>D26+D27+D28+D29+D30+D31+D32</f>
        <v>1166053</v>
      </c>
      <c r="E25" s="59">
        <f>C25-D25</f>
        <v>3621647</v>
      </c>
      <c r="F25" s="117">
        <f t="shared" si="0"/>
        <v>24.355180984606388</v>
      </c>
    </row>
    <row r="26" spans="1:6" s="18" customFormat="1" ht="34.5" thickBot="1">
      <c r="A26" s="143" t="s">
        <v>165</v>
      </c>
      <c r="B26" s="26" t="s">
        <v>172</v>
      </c>
      <c r="C26" s="80">
        <v>4336600</v>
      </c>
      <c r="D26" s="80">
        <v>1084600</v>
      </c>
      <c r="E26" s="60">
        <f>C26-D26</f>
        <v>3252000</v>
      </c>
      <c r="F26" s="73">
        <f t="shared" si="0"/>
        <v>25.010376792879214</v>
      </c>
    </row>
    <row r="27" spans="1:6" s="132" customFormat="1" ht="28.5" customHeight="1" thickBot="1">
      <c r="A27" s="144" t="s">
        <v>166</v>
      </c>
      <c r="B27" s="127" t="s">
        <v>167</v>
      </c>
      <c r="C27" s="128"/>
      <c r="D27" s="129"/>
      <c r="E27" s="130">
        <f>C27-D27</f>
        <v>0</v>
      </c>
      <c r="F27" s="131"/>
    </row>
    <row r="28" spans="1:6" s="132" customFormat="1" ht="30.75" customHeight="1" thickBot="1">
      <c r="A28" s="133" t="s">
        <v>168</v>
      </c>
      <c r="B28" s="134" t="s">
        <v>169</v>
      </c>
      <c r="C28" s="135">
        <v>7600</v>
      </c>
      <c r="D28" s="129">
        <v>1900</v>
      </c>
      <c r="E28" s="130">
        <f t="shared" ref="E28:E29" si="2">C28-D28</f>
        <v>5700</v>
      </c>
      <c r="F28" s="131">
        <f>D28/C28*100</f>
        <v>25</v>
      </c>
    </row>
    <row r="29" spans="1:6" s="132" customFormat="1" ht="30.75" customHeight="1" thickBot="1">
      <c r="A29" s="133" t="s">
        <v>170</v>
      </c>
      <c r="B29" s="134" t="s">
        <v>171</v>
      </c>
      <c r="C29" s="135">
        <v>443500</v>
      </c>
      <c r="D29" s="129">
        <v>79553</v>
      </c>
      <c r="E29" s="130">
        <f t="shared" si="2"/>
        <v>363947</v>
      </c>
      <c r="F29" s="131"/>
    </row>
    <row r="30" spans="1:6" s="132" customFormat="1" ht="33.75" customHeight="1" thickBot="1">
      <c r="A30" s="133" t="s">
        <v>164</v>
      </c>
      <c r="B30" s="134" t="s">
        <v>163</v>
      </c>
      <c r="C30" s="135"/>
      <c r="D30" s="129"/>
      <c r="E30" s="136">
        <f>C30-D30</f>
        <v>0</v>
      </c>
      <c r="F30" s="131"/>
    </row>
    <row r="31" spans="1:6" s="140" customFormat="1" ht="16.5" thickBot="1">
      <c r="A31" s="137" t="s">
        <v>159</v>
      </c>
      <c r="B31" s="138" t="s">
        <v>160</v>
      </c>
      <c r="C31" s="129">
        <v>0</v>
      </c>
      <c r="D31" s="129">
        <v>0</v>
      </c>
      <c r="E31" s="136">
        <f>C31-D31</f>
        <v>0</v>
      </c>
      <c r="F31" s="139"/>
    </row>
    <row r="32" spans="1:6" s="132" customFormat="1" ht="47.25" customHeight="1" thickBot="1">
      <c r="A32" s="137" t="s">
        <v>104</v>
      </c>
      <c r="B32" s="141" t="s">
        <v>105</v>
      </c>
      <c r="C32" s="129">
        <v>0</v>
      </c>
      <c r="D32" s="129">
        <v>0</v>
      </c>
      <c r="E32" s="130">
        <f>C32-D32</f>
        <v>0</v>
      </c>
      <c r="F32" s="142"/>
    </row>
    <row r="33" spans="1:6" ht="16.5" thickBot="1">
      <c r="A33" s="151" t="s">
        <v>109</v>
      </c>
      <c r="B33" s="152"/>
      <c r="C33" s="79">
        <f>C24++C25+C31+C32</f>
        <v>39629446</v>
      </c>
      <c r="D33" s="79">
        <f>D24++D25+D31+D32</f>
        <v>7915395.6199999992</v>
      </c>
      <c r="E33" s="79">
        <f>E24++E25+E31+E32</f>
        <v>31588104.600000001</v>
      </c>
      <c r="F33" s="65">
        <f t="shared" si="0"/>
        <v>19.973520750201754</v>
      </c>
    </row>
    <row r="34" spans="1:6" ht="28.5" customHeight="1" thickBot="1">
      <c r="A34" s="151" t="s">
        <v>110</v>
      </c>
      <c r="B34" s="152"/>
      <c r="C34" s="79">
        <f>C33</f>
        <v>39629446</v>
      </c>
      <c r="D34" s="30">
        <f t="shared" ref="D34:E34" si="3">D33</f>
        <v>7915395.6199999992</v>
      </c>
      <c r="E34" s="30">
        <f t="shared" si="3"/>
        <v>31588104.600000001</v>
      </c>
      <c r="F34" s="65">
        <f t="shared" si="0"/>
        <v>19.973520750201754</v>
      </c>
    </row>
  </sheetData>
  <mergeCells count="17">
    <mergeCell ref="A1:A2"/>
    <mergeCell ref="B1:B2"/>
    <mergeCell ref="C1:C2"/>
    <mergeCell ref="D1:D2"/>
    <mergeCell ref="A7:A8"/>
    <mergeCell ref="C7:C8"/>
    <mergeCell ref="D7:D8"/>
    <mergeCell ref="A24:B24"/>
    <mergeCell ref="A33:B33"/>
    <mergeCell ref="A34:B34"/>
    <mergeCell ref="E7:E8"/>
    <mergeCell ref="F7:F8"/>
    <mergeCell ref="A12:A13"/>
    <mergeCell ref="C12:C13"/>
    <mergeCell ref="D12:D13"/>
    <mergeCell ref="E12:E13"/>
    <mergeCell ref="F12:F13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G23" sqref="G23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126">
        <v>100</v>
      </c>
      <c r="B2" s="24" t="s">
        <v>119</v>
      </c>
      <c r="C2" s="43">
        <f>SUM(C3:C8)</f>
        <v>20972946</v>
      </c>
      <c r="D2" s="43">
        <f>SUM(D3:D8)</f>
        <v>3865727.7399999998</v>
      </c>
      <c r="E2" s="55">
        <f>D2-C2</f>
        <v>-17107218.260000002</v>
      </c>
      <c r="F2" s="56">
        <f>D2/C2*100</f>
        <v>18.43197298081061</v>
      </c>
    </row>
    <row r="3" spans="1:6" ht="23.25" thickBot="1">
      <c r="A3" s="124">
        <v>102</v>
      </c>
      <c r="B3" s="26" t="s">
        <v>120</v>
      </c>
      <c r="C3" s="44">
        <f>819600+247500</f>
        <v>1067100</v>
      </c>
      <c r="D3" s="44">
        <f>231723.68+40258.42</f>
        <v>271982.09999999998</v>
      </c>
      <c r="E3" s="55">
        <f t="shared" ref="E3:E39" si="0">D3-C3</f>
        <v>-795117.9</v>
      </c>
      <c r="F3" s="56">
        <f>D3/C3*100</f>
        <v>25.487967388248521</v>
      </c>
    </row>
    <row r="4" spans="1:6" ht="45.75" thickBot="1">
      <c r="A4" s="124">
        <v>104</v>
      </c>
      <c r="B4" s="87" t="s">
        <v>4</v>
      </c>
      <c r="C4" s="44">
        <f>5002400+400+1510800+197300+171000+20000+15000+12000+7600</f>
        <v>6936500</v>
      </c>
      <c r="D4" s="44">
        <f>959658.81+100+232241.02+44701.62+5500+2202.88+9379.92+1900</f>
        <v>1255684.25</v>
      </c>
      <c r="E4" s="55">
        <f t="shared" si="0"/>
        <v>-5680815.75</v>
      </c>
      <c r="F4" s="56">
        <f>D4/C4*100</f>
        <v>18.102562531536076</v>
      </c>
    </row>
    <row r="5" spans="1:6" ht="38.25" customHeight="1" thickBot="1">
      <c r="A5" s="112">
        <v>106</v>
      </c>
      <c r="B5" s="120" t="s">
        <v>152</v>
      </c>
      <c r="C5" s="44">
        <v>284000</v>
      </c>
      <c r="D5" s="44">
        <v>0</v>
      </c>
      <c r="E5" s="55">
        <f t="shared" si="0"/>
        <v>-284000</v>
      </c>
      <c r="F5" s="56">
        <f>D5/C5*100</f>
        <v>0</v>
      </c>
    </row>
    <row r="6" spans="1:6" ht="25.5" customHeight="1" thickBot="1">
      <c r="A6" s="124">
        <v>107</v>
      </c>
      <c r="B6" s="113" t="s">
        <v>154</v>
      </c>
      <c r="C6" s="44">
        <v>890000</v>
      </c>
      <c r="D6" s="44">
        <v>0</v>
      </c>
      <c r="E6" s="55">
        <f t="shared" si="0"/>
        <v>-890000</v>
      </c>
      <c r="F6" s="56"/>
    </row>
    <row r="7" spans="1:6" ht="16.5" thickBot="1">
      <c r="A7" s="112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9" si="1">D7/C7*100</f>
        <v>0</v>
      </c>
    </row>
    <row r="8" spans="1:6" ht="16.5" thickBot="1">
      <c r="A8" s="124">
        <v>113</v>
      </c>
      <c r="B8" s="26" t="s">
        <v>121</v>
      </c>
      <c r="C8" s="44">
        <f>130000+580000+420000+10000+1266200+382400+490000+136000+3000+3600+400+3614900+600+1091700+749600+2813946+25000+28000</f>
        <v>11745346</v>
      </c>
      <c r="D8" s="45">
        <f>8500+269833.45+66970.21+94272.61+12690+99.48+776339.96+100+190799.99+324855.62+579550.07+4504+9546</f>
        <v>2338061.3899999997</v>
      </c>
      <c r="E8" s="55">
        <f t="shared" si="0"/>
        <v>-9407284.6099999994</v>
      </c>
      <c r="F8" s="56">
        <f t="shared" si="1"/>
        <v>19.906279389300234</v>
      </c>
    </row>
    <row r="9" spans="1:6" ht="16.5" thickBot="1">
      <c r="A9" s="126">
        <v>200</v>
      </c>
      <c r="B9" s="24" t="s">
        <v>122</v>
      </c>
      <c r="C9" s="43">
        <f>C10</f>
        <v>443500</v>
      </c>
      <c r="D9" s="43">
        <f>D10</f>
        <v>79553</v>
      </c>
      <c r="E9" s="55">
        <f t="shared" si="0"/>
        <v>-363947</v>
      </c>
      <c r="F9" s="56">
        <f t="shared" si="1"/>
        <v>17.937542277339347</v>
      </c>
    </row>
    <row r="10" spans="1:6" ht="16.5" thickBot="1">
      <c r="A10" s="124">
        <v>203</v>
      </c>
      <c r="B10" s="26" t="s">
        <v>123</v>
      </c>
      <c r="C10" s="44">
        <f>339480+102520+1500</f>
        <v>443500</v>
      </c>
      <c r="D10" s="44">
        <f>64253+15300</f>
        <v>79553</v>
      </c>
      <c r="E10" s="55">
        <f t="shared" si="0"/>
        <v>-363947</v>
      </c>
      <c r="F10" s="56">
        <f t="shared" si="1"/>
        <v>17.937542277339347</v>
      </c>
    </row>
    <row r="11" spans="1:6" ht="21.75" thickBot="1">
      <c r="A11" s="126">
        <v>300</v>
      </c>
      <c r="B11" s="24" t="s">
        <v>124</v>
      </c>
      <c r="C11" s="43">
        <f>SUM(C12:C13)</f>
        <v>170000</v>
      </c>
      <c r="D11" s="43">
        <f>SUM(D12:D13)</f>
        <v>34852</v>
      </c>
      <c r="E11" s="55">
        <f t="shared" si="0"/>
        <v>-135148</v>
      </c>
      <c r="F11" s="56">
        <f t="shared" si="1"/>
        <v>20.501176470588238</v>
      </c>
    </row>
    <row r="12" spans="1:6" ht="34.5" thickBot="1">
      <c r="A12" s="124">
        <v>309</v>
      </c>
      <c r="B12" s="37" t="s">
        <v>125</v>
      </c>
      <c r="C12" s="125">
        <f>55000+25000</f>
        <v>80000</v>
      </c>
      <c r="D12" s="44">
        <v>0</v>
      </c>
      <c r="E12" s="55">
        <f t="shared" si="0"/>
        <v>-80000</v>
      </c>
      <c r="F12" s="56">
        <f t="shared" si="1"/>
        <v>0</v>
      </c>
    </row>
    <row r="13" spans="1:6" ht="34.5" thickBot="1">
      <c r="A13" s="124">
        <v>314</v>
      </c>
      <c r="B13" s="38" t="s">
        <v>126</v>
      </c>
      <c r="C13" s="44">
        <f>70000+20000</f>
        <v>90000</v>
      </c>
      <c r="D13" s="44">
        <v>34852</v>
      </c>
      <c r="E13" s="55">
        <f t="shared" si="0"/>
        <v>-55148</v>
      </c>
      <c r="F13" s="56">
        <f t="shared" si="1"/>
        <v>38.724444444444444</v>
      </c>
    </row>
    <row r="14" spans="1:6" ht="16.5" thickBot="1">
      <c r="A14" s="126">
        <v>400</v>
      </c>
      <c r="B14" s="39" t="s">
        <v>64</v>
      </c>
      <c r="C14" s="43">
        <f>SUM(C15:C16)</f>
        <v>6587693.4400000004</v>
      </c>
      <c r="D14" s="43">
        <f>SUM(D15:D16)</f>
        <v>302174</v>
      </c>
      <c r="E14" s="55">
        <f t="shared" si="0"/>
        <v>-6285519.4400000004</v>
      </c>
      <c r="F14" s="56">
        <f t="shared" si="1"/>
        <v>4.5869468995812896</v>
      </c>
    </row>
    <row r="15" spans="1:6" ht="16.5" thickBot="1">
      <c r="A15" s="124">
        <v>409</v>
      </c>
      <c r="B15" s="26" t="s">
        <v>18</v>
      </c>
      <c r="C15" s="44">
        <f>4817693.44+1000000+600000</f>
        <v>6417693.4400000004</v>
      </c>
      <c r="D15" s="44">
        <f>199250+102924</f>
        <v>302174</v>
      </c>
      <c r="E15" s="55">
        <f t="shared" si="0"/>
        <v>-6115519.4400000004</v>
      </c>
      <c r="F15" s="56">
        <f t="shared" si="1"/>
        <v>4.7084517642525467</v>
      </c>
    </row>
    <row r="16" spans="1:6" ht="23.25" thickBot="1">
      <c r="A16" s="124">
        <v>412</v>
      </c>
      <c r="B16" s="26" t="s">
        <v>127</v>
      </c>
      <c r="C16" s="44">
        <f>20000+150000</f>
        <v>170000</v>
      </c>
      <c r="D16" s="44"/>
      <c r="E16" s="55">
        <f t="shared" si="0"/>
        <v>-170000</v>
      </c>
      <c r="F16" s="56">
        <f t="shared" si="1"/>
        <v>0</v>
      </c>
    </row>
    <row r="17" spans="1:6" ht="16.5" thickBot="1">
      <c r="A17" s="126">
        <v>500</v>
      </c>
      <c r="B17" s="24" t="s">
        <v>128</v>
      </c>
      <c r="C17" s="43">
        <f>SUM(C18:C19)</f>
        <v>7355000</v>
      </c>
      <c r="D17" s="43">
        <f>SUM(D18:D19)</f>
        <v>670824.19999999995</v>
      </c>
      <c r="E17" s="55">
        <f t="shared" si="0"/>
        <v>-6684175.7999999998</v>
      </c>
      <c r="F17" s="56">
        <f t="shared" si="1"/>
        <v>9.1206553365057772</v>
      </c>
    </row>
    <row r="18" spans="1:6" ht="16.5" thickBot="1">
      <c r="A18" s="124">
        <v>502</v>
      </c>
      <c r="B18" s="26" t="s">
        <v>19</v>
      </c>
      <c r="C18" s="44">
        <f>500000+400000+1580000</f>
        <v>2480000</v>
      </c>
      <c r="D18" s="44">
        <v>119310</v>
      </c>
      <c r="E18" s="55">
        <f t="shared" si="0"/>
        <v>-2360690</v>
      </c>
      <c r="F18" s="56">
        <f t="shared" si="1"/>
        <v>4.8108870967741932</v>
      </c>
    </row>
    <row r="19" spans="1:6" ht="16.5" thickBot="1">
      <c r="A19" s="124">
        <v>503</v>
      </c>
      <c r="B19" s="26" t="s">
        <v>22</v>
      </c>
      <c r="C19" s="44">
        <f>2400000+130000+150000+2195000</f>
        <v>4875000</v>
      </c>
      <c r="D19" s="44">
        <f>406485.2+145029</f>
        <v>551514.19999999995</v>
      </c>
      <c r="E19" s="55">
        <f t="shared" si="0"/>
        <v>-4323485.8</v>
      </c>
      <c r="F19" s="56">
        <f t="shared" si="1"/>
        <v>11.313111794871794</v>
      </c>
    </row>
    <row r="20" spans="1:6" ht="16.5" thickBot="1">
      <c r="A20" s="126">
        <v>700</v>
      </c>
      <c r="B20" s="24" t="s">
        <v>129</v>
      </c>
      <c r="C20" s="43">
        <f>SUM(C21:C22)</f>
        <v>180000</v>
      </c>
      <c r="D20" s="43">
        <f>SUM(D21:D22)</f>
        <v>7124</v>
      </c>
      <c r="E20" s="55">
        <f t="shared" si="0"/>
        <v>-172876</v>
      </c>
      <c r="F20" s="56">
        <f t="shared" si="1"/>
        <v>3.9577777777777783</v>
      </c>
    </row>
    <row r="21" spans="1:6" ht="16.5" thickBot="1">
      <c r="A21" s="146">
        <v>705</v>
      </c>
      <c r="B21" s="26" t="s">
        <v>173</v>
      </c>
      <c r="C21" s="44">
        <v>150000</v>
      </c>
      <c r="D21" s="44">
        <v>6000</v>
      </c>
      <c r="E21" s="147">
        <f>D21-C21</f>
        <v>-144000</v>
      </c>
      <c r="F21" s="56">
        <f>D21/C21*100</f>
        <v>4</v>
      </c>
    </row>
    <row r="22" spans="1:6" ht="16.5" thickBot="1">
      <c r="A22" s="124">
        <v>707</v>
      </c>
      <c r="B22" s="26" t="s">
        <v>23</v>
      </c>
      <c r="C22" s="44">
        <f>30000</f>
        <v>30000</v>
      </c>
      <c r="D22" s="44">
        <v>1124</v>
      </c>
      <c r="E22" s="147">
        <f t="shared" si="0"/>
        <v>-28876</v>
      </c>
      <c r="F22" s="56">
        <f t="shared" si="1"/>
        <v>3.746666666666667</v>
      </c>
    </row>
    <row r="23" spans="1:6" ht="16.5" thickBot="1">
      <c r="A23" s="126">
        <v>800</v>
      </c>
      <c r="B23" s="24" t="s">
        <v>130</v>
      </c>
      <c r="C23" s="43">
        <f>SUM(C24:C25)</f>
        <v>7348641.5600000005</v>
      </c>
      <c r="D23" s="43">
        <f>SUM(D24:D25)</f>
        <v>1039572.03</v>
      </c>
      <c r="E23" s="55">
        <f t="shared" si="0"/>
        <v>-6309069.5300000003</v>
      </c>
      <c r="F23" s="56">
        <f t="shared" si="1"/>
        <v>14.14645171508406</v>
      </c>
    </row>
    <row r="24" spans="1:6" ht="16.5" thickBot="1">
      <c r="A24" s="124">
        <v>801</v>
      </c>
      <c r="B24" s="26" t="s">
        <v>131</v>
      </c>
      <c r="C24" s="44">
        <f>4176400+2652241.56+10000+110000</f>
        <v>6948641.5600000005</v>
      </c>
      <c r="D24" s="44">
        <f>570699.42+466502.61</f>
        <v>1037202.03</v>
      </c>
      <c r="E24" s="55">
        <f t="shared" si="0"/>
        <v>-5911439.5300000003</v>
      </c>
      <c r="F24" s="56">
        <f t="shared" si="1"/>
        <v>14.926687771185017</v>
      </c>
    </row>
    <row r="25" spans="1:6" ht="16.5" thickBot="1">
      <c r="A25" s="124">
        <v>804</v>
      </c>
      <c r="B25" s="26" t="s">
        <v>132</v>
      </c>
      <c r="C25" s="44">
        <v>400000</v>
      </c>
      <c r="D25" s="44">
        <v>2370</v>
      </c>
      <c r="E25" s="55">
        <f t="shared" si="0"/>
        <v>-397630</v>
      </c>
      <c r="F25" s="56">
        <f t="shared" si="1"/>
        <v>0.59250000000000003</v>
      </c>
    </row>
    <row r="26" spans="1:6" ht="16.5" hidden="1" thickBot="1">
      <c r="A26" s="126">
        <v>1000</v>
      </c>
      <c r="B26" s="24" t="s">
        <v>133</v>
      </c>
      <c r="C26" s="43">
        <f>C27</f>
        <v>0</v>
      </c>
      <c r="D26" s="43">
        <f>D27</f>
        <v>0</v>
      </c>
      <c r="E26" s="55">
        <f t="shared" si="0"/>
        <v>0</v>
      </c>
      <c r="F26" s="56" t="e">
        <f t="shared" si="1"/>
        <v>#DIV/0!</v>
      </c>
    </row>
    <row r="27" spans="1:6" ht="16.5" hidden="1" thickBot="1">
      <c r="A27" s="124">
        <v>1003</v>
      </c>
      <c r="B27" s="26" t="s">
        <v>134</v>
      </c>
      <c r="C27" s="44">
        <v>0</v>
      </c>
      <c r="D27" s="44">
        <v>0</v>
      </c>
      <c r="E27" s="55">
        <f t="shared" si="0"/>
        <v>0</v>
      </c>
      <c r="F27" s="56" t="e">
        <f t="shared" si="1"/>
        <v>#DIV/0!</v>
      </c>
    </row>
    <row r="28" spans="1:6" ht="16.5" thickBot="1">
      <c r="A28" s="126">
        <v>1100</v>
      </c>
      <c r="B28" s="24" t="s">
        <v>135</v>
      </c>
      <c r="C28" s="43">
        <f>C29+C30</f>
        <v>3508800</v>
      </c>
      <c r="D28" s="43">
        <f>D29+D30</f>
        <v>1087579.05</v>
      </c>
      <c r="E28" s="55">
        <f t="shared" si="0"/>
        <v>-2421220.9500000002</v>
      </c>
      <c r="F28" s="56">
        <f t="shared" si="1"/>
        <v>30.99575495896033</v>
      </c>
    </row>
    <row r="29" spans="1:6" ht="16.5" thickBot="1">
      <c r="A29" s="124">
        <v>1101</v>
      </c>
      <c r="B29" s="26" t="s">
        <v>136</v>
      </c>
      <c r="C29" s="44">
        <v>1138800</v>
      </c>
      <c r="D29" s="44">
        <v>370940.05</v>
      </c>
      <c r="E29" s="55">
        <f t="shared" si="0"/>
        <v>-767859.95</v>
      </c>
      <c r="F29" s="56">
        <f t="shared" si="1"/>
        <v>32.572888127853886</v>
      </c>
    </row>
    <row r="30" spans="1:6" ht="16.5" customHeight="1" thickBot="1">
      <c r="A30" s="124">
        <v>1102</v>
      </c>
      <c r="B30" s="26" t="s">
        <v>151</v>
      </c>
      <c r="C30" s="49">
        <v>2370000</v>
      </c>
      <c r="D30" s="49">
        <v>716639</v>
      </c>
      <c r="E30" s="55">
        <f t="shared" si="0"/>
        <v>-1653361</v>
      </c>
      <c r="F30" s="56">
        <f t="shared" si="1"/>
        <v>30.237932489451474</v>
      </c>
    </row>
    <row r="31" spans="1:6" ht="16.5" thickBot="1">
      <c r="A31" s="123">
        <v>1200</v>
      </c>
      <c r="B31" s="104" t="s">
        <v>137</v>
      </c>
      <c r="C31" s="105">
        <v>0</v>
      </c>
      <c r="D31" s="105">
        <v>0</v>
      </c>
      <c r="E31" s="55">
        <f t="shared" si="0"/>
        <v>0</v>
      </c>
      <c r="F31" s="56"/>
    </row>
    <row r="32" spans="1:6" ht="23.25" thickBot="1">
      <c r="A32" s="102">
        <v>1204</v>
      </c>
      <c r="B32" s="91" t="s">
        <v>150</v>
      </c>
      <c r="C32" s="109">
        <v>80000</v>
      </c>
      <c r="D32" s="111">
        <v>6796.8</v>
      </c>
      <c r="E32" s="55">
        <f t="shared" si="0"/>
        <v>-73203.199999999997</v>
      </c>
      <c r="F32" s="56">
        <f t="shared" si="1"/>
        <v>8.4960000000000004</v>
      </c>
    </row>
    <row r="33" spans="1:6" ht="23.25" hidden="1" thickBot="1">
      <c r="A33" s="102">
        <v>1300</v>
      </c>
      <c r="B33" s="91" t="s">
        <v>161</v>
      </c>
      <c r="C33" s="103">
        <v>0</v>
      </c>
      <c r="D33" s="110"/>
      <c r="E33" s="55"/>
      <c r="F33" s="56"/>
    </row>
    <row r="34" spans="1:6" ht="23.25" hidden="1" thickBot="1">
      <c r="A34" s="106">
        <v>1301</v>
      </c>
      <c r="B34" s="107" t="s">
        <v>161</v>
      </c>
      <c r="C34" s="108">
        <v>0</v>
      </c>
      <c r="D34" s="108">
        <v>0</v>
      </c>
      <c r="E34" s="55">
        <f t="shared" si="0"/>
        <v>0</v>
      </c>
      <c r="F34" s="56" t="e">
        <f t="shared" si="1"/>
        <v>#DIV/0!</v>
      </c>
    </row>
    <row r="35" spans="1:6" ht="16.5" hidden="1" thickBot="1">
      <c r="A35" s="183" t="s">
        <v>139</v>
      </c>
      <c r="B35" s="101" t="s">
        <v>140</v>
      </c>
      <c r="C35" s="184">
        <f>C37</f>
        <v>0</v>
      </c>
      <c r="D35" s="185">
        <f>D37</f>
        <v>0</v>
      </c>
      <c r="E35" s="55">
        <f t="shared" si="0"/>
        <v>0</v>
      </c>
      <c r="F35" s="56" t="e">
        <f t="shared" si="1"/>
        <v>#DIV/0!</v>
      </c>
    </row>
    <row r="36" spans="1:6" ht="16.5" hidden="1" thickBot="1">
      <c r="A36" s="170"/>
      <c r="B36" s="24" t="s">
        <v>141</v>
      </c>
      <c r="C36" s="172"/>
      <c r="D36" s="172"/>
      <c r="E36" s="55">
        <f t="shared" si="0"/>
        <v>0</v>
      </c>
      <c r="F36" s="56"/>
    </row>
    <row r="37" spans="1:6" ht="16.5" hidden="1" thickBot="1">
      <c r="A37" s="165" t="s">
        <v>142</v>
      </c>
      <c r="B37" s="41" t="s">
        <v>143</v>
      </c>
      <c r="C37" s="167">
        <v>0</v>
      </c>
      <c r="D37" s="167">
        <v>0</v>
      </c>
      <c r="E37" s="55">
        <f t="shared" si="0"/>
        <v>0</v>
      </c>
      <c r="F37" s="56" t="e">
        <f t="shared" si="1"/>
        <v>#DIV/0!</v>
      </c>
    </row>
    <row r="38" spans="1:6" ht="16.5" hidden="1" thickBot="1">
      <c r="A38" s="166"/>
      <c r="B38" s="26" t="s">
        <v>144</v>
      </c>
      <c r="C38" s="168"/>
      <c r="D38" s="168"/>
      <c r="E38" s="55">
        <f t="shared" si="0"/>
        <v>0</v>
      </c>
      <c r="F38" s="56"/>
    </row>
    <row r="39" spans="1:6" ht="16.5" thickBot="1">
      <c r="A39" s="126">
        <v>9800</v>
      </c>
      <c r="B39" s="24" t="s">
        <v>145</v>
      </c>
      <c r="C39" s="43">
        <f>C35+C31+C28+C26+C23+C20+C17+C14+C11+C9+C2+C33+C32</f>
        <v>46646581</v>
      </c>
      <c r="D39" s="43">
        <f>D35+D31+D28+D26+D23+D20+D17+D14+D11+D9+D2+D32</f>
        <v>7094202.8199999994</v>
      </c>
      <c r="E39" s="55">
        <f t="shared" si="0"/>
        <v>-39552378.18</v>
      </c>
      <c r="F39" s="56">
        <f t="shared" si="1"/>
        <v>15.208408993576613</v>
      </c>
    </row>
  </sheetData>
  <mergeCells count="6">
    <mergeCell ref="A35:A36"/>
    <mergeCell ref="C35:C36"/>
    <mergeCell ref="D35:D36"/>
    <mergeCell ref="A37:A38"/>
    <mergeCell ref="C37:C38"/>
    <mergeCell ref="D37:D38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sqref="A1:IV65536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7109375" customWidth="1"/>
    <col min="5" max="5" width="13.85546875" customWidth="1"/>
    <col min="6" max="7" width="14" customWidth="1"/>
    <col min="8" max="8" width="13.28515625" customWidth="1"/>
    <col min="9" max="9" width="13.28515625" hidden="1" customWidth="1"/>
    <col min="10" max="10" width="14" customWidth="1"/>
  </cols>
  <sheetData>
    <row r="2" spans="1:10" ht="18.75">
      <c r="A2" s="148" t="s">
        <v>54</v>
      </c>
      <c r="B2" s="148"/>
      <c r="C2" s="148"/>
      <c r="D2" s="148"/>
      <c r="E2" s="148"/>
      <c r="F2" s="148"/>
      <c r="G2" s="148"/>
      <c r="H2" s="148"/>
      <c r="I2" s="148"/>
    </row>
    <row r="4" spans="1:10" ht="57">
      <c r="A4" s="5" t="s">
        <v>37</v>
      </c>
      <c r="B4" s="6"/>
      <c r="C4" s="7" t="s">
        <v>0</v>
      </c>
      <c r="D4" s="7" t="s">
        <v>56</v>
      </c>
      <c r="E4" s="7" t="s">
        <v>55</v>
      </c>
      <c r="F4" s="7" t="s">
        <v>57</v>
      </c>
      <c r="G4" s="7" t="s">
        <v>42</v>
      </c>
      <c r="H4" s="7" t="s">
        <v>61</v>
      </c>
      <c r="I4" s="7" t="s">
        <v>40</v>
      </c>
      <c r="J4" s="7" t="s">
        <v>62</v>
      </c>
    </row>
    <row r="5" spans="1:10" ht="30" customHeight="1">
      <c r="A5" s="3" t="s">
        <v>2</v>
      </c>
      <c r="B5" s="8" t="s">
        <v>3</v>
      </c>
      <c r="C5" s="9"/>
      <c r="D5" s="9">
        <f>446100+116800</f>
        <v>562900</v>
      </c>
      <c r="E5" s="15">
        <v>432800</v>
      </c>
      <c r="F5" s="15">
        <f>327399.64+81172.93</f>
        <v>408572.57</v>
      </c>
      <c r="G5" s="15">
        <f>E5-F5</f>
        <v>24227.429999999993</v>
      </c>
      <c r="H5" s="9">
        <f t="shared" ref="H5:H31" si="0">F5/E5*100</f>
        <v>94.402164972273567</v>
      </c>
      <c r="I5" s="9" t="e">
        <f>E5/C5*100</f>
        <v>#DIV/0!</v>
      </c>
      <c r="J5" s="9">
        <f>F5/D5*100</f>
        <v>72.58350861609523</v>
      </c>
    </row>
    <row r="6" spans="1:10" ht="47.25" customHeight="1">
      <c r="A6" s="3" t="s">
        <v>4</v>
      </c>
      <c r="B6" s="8" t="s">
        <v>5</v>
      </c>
      <c r="C6" s="9"/>
      <c r="D6" s="9">
        <f>4933100+7000</f>
        <v>4940100</v>
      </c>
      <c r="E6" s="15">
        <v>3462319</v>
      </c>
      <c r="F6" s="15">
        <f>2251385.7+638738.31+58668.38+39090+100916.35+4397.6+149120.62+97964.73+4419</f>
        <v>3344700.6900000004</v>
      </c>
      <c r="G6" s="15">
        <f t="shared" ref="G6:G30" si="1">E6-F6</f>
        <v>117618.30999999959</v>
      </c>
      <c r="H6" s="9">
        <f t="shared" si="0"/>
        <v>96.602903718577068</v>
      </c>
      <c r="I6" s="9" t="e">
        <f t="shared" ref="I6:I31" si="2">E6/C6*100</f>
        <v>#DIV/0!</v>
      </c>
      <c r="J6" s="9">
        <f t="shared" ref="J6:J31" si="3">F6/D6*100</f>
        <v>67.705121151393712</v>
      </c>
    </row>
    <row r="7" spans="1:10">
      <c r="A7" s="3" t="s">
        <v>6</v>
      </c>
      <c r="B7" s="8" t="s">
        <v>8</v>
      </c>
      <c r="C7" s="9"/>
      <c r="D7" s="9">
        <v>50000</v>
      </c>
      <c r="E7" s="15">
        <v>50000</v>
      </c>
      <c r="F7" s="15">
        <v>0</v>
      </c>
      <c r="G7" s="15">
        <f t="shared" si="1"/>
        <v>50000</v>
      </c>
      <c r="H7" s="10">
        <v>0</v>
      </c>
      <c r="I7" s="9" t="e">
        <f t="shared" si="2"/>
        <v>#DIV/0!</v>
      </c>
      <c r="J7" s="9">
        <f t="shared" si="3"/>
        <v>0</v>
      </c>
    </row>
    <row r="8" spans="1:10" ht="18" customHeight="1">
      <c r="A8" s="3" t="s">
        <v>51</v>
      </c>
      <c r="B8" s="8" t="s">
        <v>7</v>
      </c>
      <c r="C8" s="9"/>
      <c r="D8" s="15">
        <f>D9+D10</f>
        <v>4851200</v>
      </c>
      <c r="E8" s="15">
        <f>E9+E10</f>
        <v>3389100</v>
      </c>
      <c r="F8" s="15">
        <f>F9+F10</f>
        <v>3089737.6100000003</v>
      </c>
      <c r="G8" s="15">
        <f t="shared" si="1"/>
        <v>299362.38999999966</v>
      </c>
      <c r="H8" s="9">
        <f t="shared" si="0"/>
        <v>91.166905963235095</v>
      </c>
      <c r="I8" s="9" t="e">
        <f t="shared" si="2"/>
        <v>#DIV/0!</v>
      </c>
      <c r="J8" s="9">
        <f t="shared" si="3"/>
        <v>63.690171710092358</v>
      </c>
    </row>
    <row r="9" spans="1:10">
      <c r="A9" s="4" t="s">
        <v>33</v>
      </c>
      <c r="B9" s="8" t="s">
        <v>7</v>
      </c>
      <c r="C9" s="9"/>
      <c r="D9" s="9">
        <v>1222700</v>
      </c>
      <c r="E9" s="15">
        <v>887300</v>
      </c>
      <c r="F9" s="15">
        <f>550336.14+117993.04+38923.4+3850+83168.81+1639.65+1521.5</f>
        <v>797432.54000000015</v>
      </c>
      <c r="G9" s="15">
        <f t="shared" si="1"/>
        <v>89867.459999999846</v>
      </c>
      <c r="H9" s="9">
        <f t="shared" si="0"/>
        <v>89.87180660430522</v>
      </c>
      <c r="I9" s="9" t="e">
        <f t="shared" si="2"/>
        <v>#DIV/0!</v>
      </c>
      <c r="J9" s="9">
        <f t="shared" si="3"/>
        <v>65.218985850985533</v>
      </c>
    </row>
    <row r="10" spans="1:10">
      <c r="A10" s="4" t="s">
        <v>58</v>
      </c>
      <c r="B10" s="8" t="s">
        <v>7</v>
      </c>
      <c r="C10" s="9"/>
      <c r="D10" s="9">
        <v>3628500</v>
      </c>
      <c r="E10" s="15">
        <v>2501800</v>
      </c>
      <c r="F10" s="15">
        <f>1298557.65+320841.1+47120.94+50382+47255.82+21398.3+86336+420413.26</f>
        <v>2292305.0700000003</v>
      </c>
      <c r="G10" s="15">
        <f t="shared" si="1"/>
        <v>209494.9299999997</v>
      </c>
      <c r="H10" s="9">
        <f t="shared" si="0"/>
        <v>91.626231913022636</v>
      </c>
      <c r="I10" s="9" t="e">
        <f t="shared" si="2"/>
        <v>#DIV/0!</v>
      </c>
      <c r="J10" s="9">
        <f t="shared" si="3"/>
        <v>63.175005374121554</v>
      </c>
    </row>
    <row r="11" spans="1:10" ht="43.5" customHeight="1">
      <c r="A11" s="3" t="s">
        <v>35</v>
      </c>
      <c r="B11" s="8" t="s">
        <v>7</v>
      </c>
      <c r="C11" s="9"/>
      <c r="D11" s="9">
        <v>100000</v>
      </c>
      <c r="E11" s="15">
        <v>100000</v>
      </c>
      <c r="F11" s="15">
        <v>99917.73</v>
      </c>
      <c r="G11" s="15">
        <f t="shared" si="1"/>
        <v>82.270000000004075</v>
      </c>
      <c r="H11" s="9">
        <f t="shared" si="0"/>
        <v>99.917729999999992</v>
      </c>
      <c r="I11" s="9" t="e">
        <f t="shared" si="2"/>
        <v>#DIV/0!</v>
      </c>
      <c r="J11" s="9">
        <f t="shared" si="3"/>
        <v>99.917729999999992</v>
      </c>
    </row>
    <row r="12" spans="1:10" ht="30" customHeight="1">
      <c r="A12" s="3" t="s">
        <v>46</v>
      </c>
      <c r="B12" s="8" t="s">
        <v>7</v>
      </c>
      <c r="C12" s="9"/>
      <c r="D12" s="9">
        <v>115400</v>
      </c>
      <c r="E12" s="15">
        <v>115400</v>
      </c>
      <c r="F12" s="15">
        <v>115400</v>
      </c>
      <c r="G12" s="15">
        <f t="shared" si="1"/>
        <v>0</v>
      </c>
      <c r="H12" s="9">
        <f t="shared" si="0"/>
        <v>100</v>
      </c>
      <c r="I12" s="9" t="e">
        <f t="shared" si="2"/>
        <v>#DIV/0!</v>
      </c>
      <c r="J12" s="9">
        <f t="shared" si="3"/>
        <v>100</v>
      </c>
    </row>
    <row r="13" spans="1:10" ht="30" customHeight="1">
      <c r="A13" s="3" t="s">
        <v>36</v>
      </c>
      <c r="B13" s="8" t="s">
        <v>7</v>
      </c>
      <c r="C13" s="9"/>
      <c r="D13" s="9">
        <v>137000</v>
      </c>
      <c r="E13" s="15">
        <v>92000</v>
      </c>
      <c r="F13" s="15">
        <v>56000</v>
      </c>
      <c r="G13" s="15">
        <f t="shared" si="1"/>
        <v>36000</v>
      </c>
      <c r="H13" s="9">
        <f t="shared" si="0"/>
        <v>60.869565217391312</v>
      </c>
      <c r="I13" s="9" t="e">
        <f t="shared" si="2"/>
        <v>#DIV/0!</v>
      </c>
      <c r="J13" s="9">
        <f t="shared" si="3"/>
        <v>40.875912408759127</v>
      </c>
    </row>
    <row r="14" spans="1:10" ht="15.75" customHeight="1">
      <c r="A14" s="3" t="s">
        <v>9</v>
      </c>
      <c r="B14" s="8" t="s">
        <v>10</v>
      </c>
      <c r="C14" s="9"/>
      <c r="D14" s="9">
        <v>268100</v>
      </c>
      <c r="E14" s="15">
        <v>201092</v>
      </c>
      <c r="F14" s="15">
        <f>154060.56+40896.67+328.02</f>
        <v>195285.24999999997</v>
      </c>
      <c r="G14" s="15">
        <f t="shared" si="1"/>
        <v>5806.7500000000291</v>
      </c>
      <c r="H14" s="9">
        <f t="shared" si="0"/>
        <v>97.112391343265756</v>
      </c>
      <c r="I14" s="9" t="e">
        <f t="shared" si="2"/>
        <v>#DIV/0!</v>
      </c>
      <c r="J14" s="9">
        <f t="shared" si="3"/>
        <v>72.840451324132772</v>
      </c>
    </row>
    <row r="15" spans="1:10" ht="30.75" customHeight="1">
      <c r="A15" s="3" t="s">
        <v>11</v>
      </c>
      <c r="B15" s="8" t="s">
        <v>12</v>
      </c>
      <c r="C15" s="9"/>
      <c r="D15" s="9">
        <v>185530</v>
      </c>
      <c r="E15" s="15">
        <v>133030</v>
      </c>
      <c r="F15" s="15">
        <f>69685+530</f>
        <v>70215</v>
      </c>
      <c r="G15" s="15">
        <f t="shared" si="1"/>
        <v>62815</v>
      </c>
      <c r="H15" s="9">
        <f t="shared" si="0"/>
        <v>52.781327520108249</v>
      </c>
      <c r="I15" s="9" t="e">
        <f t="shared" si="2"/>
        <v>#DIV/0!</v>
      </c>
      <c r="J15" s="9">
        <f t="shared" si="3"/>
        <v>37.845631434269386</v>
      </c>
    </row>
    <row r="16" spans="1:10" ht="16.5" customHeight="1">
      <c r="A16" s="3" t="s">
        <v>14</v>
      </c>
      <c r="B16" s="8" t="s">
        <v>13</v>
      </c>
      <c r="C16" s="9"/>
      <c r="D16" s="9">
        <v>109000</v>
      </c>
      <c r="E16" s="15">
        <v>9000</v>
      </c>
      <c r="F16" s="15">
        <v>8400</v>
      </c>
      <c r="G16" s="15">
        <f t="shared" si="1"/>
        <v>600</v>
      </c>
      <c r="H16" s="9">
        <f t="shared" si="0"/>
        <v>93.333333333333329</v>
      </c>
      <c r="I16" s="9" t="e">
        <f t="shared" si="2"/>
        <v>#DIV/0!</v>
      </c>
      <c r="J16" s="9">
        <f t="shared" si="3"/>
        <v>7.7064220183486238</v>
      </c>
    </row>
    <row r="17" spans="1:10">
      <c r="A17" s="3" t="s">
        <v>18</v>
      </c>
      <c r="B17" s="8" t="s">
        <v>17</v>
      </c>
      <c r="C17" s="9"/>
      <c r="D17" s="9">
        <f>2805000+102952+900000+940000+150000</f>
        <v>4897952</v>
      </c>
      <c r="E17" s="15">
        <v>3801309.57</v>
      </c>
      <c r="F17" s="15">
        <f>2018375.95+35465+884909.24</f>
        <v>2938750.19</v>
      </c>
      <c r="G17" s="15">
        <f t="shared" si="1"/>
        <v>862559.37999999989</v>
      </c>
      <c r="H17" s="9">
        <f t="shared" si="0"/>
        <v>77.308888841694639</v>
      </c>
      <c r="I17" s="9" t="e">
        <f t="shared" si="2"/>
        <v>#DIV/0!</v>
      </c>
      <c r="J17" s="9">
        <f t="shared" si="3"/>
        <v>59.999571045204206</v>
      </c>
    </row>
    <row r="18" spans="1:10" ht="16.5" customHeight="1">
      <c r="A18" s="3" t="s">
        <v>15</v>
      </c>
      <c r="B18" s="8" t="s">
        <v>16</v>
      </c>
      <c r="C18" s="9"/>
      <c r="D18" s="9">
        <v>200000</v>
      </c>
      <c r="E18" s="15">
        <v>150000</v>
      </c>
      <c r="F18" s="15">
        <v>0</v>
      </c>
      <c r="G18" s="15">
        <f t="shared" si="1"/>
        <v>150000</v>
      </c>
      <c r="H18" s="9">
        <f t="shared" si="0"/>
        <v>0</v>
      </c>
      <c r="I18" s="9" t="e">
        <f t="shared" si="2"/>
        <v>#DIV/0!</v>
      </c>
      <c r="J18" s="9">
        <f t="shared" si="3"/>
        <v>0</v>
      </c>
    </row>
    <row r="19" spans="1:10">
      <c r="A19" s="3" t="s">
        <v>19</v>
      </c>
      <c r="B19" s="8" t="s">
        <v>20</v>
      </c>
      <c r="C19" s="9"/>
      <c r="D19" s="9">
        <v>450000</v>
      </c>
      <c r="E19" s="15">
        <v>125000</v>
      </c>
      <c r="F19" s="15">
        <v>0</v>
      </c>
      <c r="G19" s="15">
        <f t="shared" si="1"/>
        <v>125000</v>
      </c>
      <c r="H19" s="9">
        <v>0</v>
      </c>
      <c r="I19" s="9" t="e">
        <f t="shared" si="2"/>
        <v>#DIV/0!</v>
      </c>
      <c r="J19" s="9">
        <f t="shared" si="3"/>
        <v>0</v>
      </c>
    </row>
    <row r="20" spans="1:10">
      <c r="A20" s="3" t="s">
        <v>22</v>
      </c>
      <c r="B20" s="8" t="s">
        <v>21</v>
      </c>
      <c r="C20" s="9"/>
      <c r="D20" s="9">
        <v>3866863</v>
      </c>
      <c r="E20" s="15">
        <v>2595563</v>
      </c>
      <c r="F20" s="15">
        <f>648548.49+366204+3461+99952.02+49878.4+624273.5+42393.75+4500+160711.82+45556+99591.12</f>
        <v>2145070.1</v>
      </c>
      <c r="G20" s="15">
        <f t="shared" si="1"/>
        <v>450492.89999999991</v>
      </c>
      <c r="H20" s="9">
        <f t="shared" si="0"/>
        <v>82.643730859162361</v>
      </c>
      <c r="I20" s="9" t="e">
        <f t="shared" si="2"/>
        <v>#DIV/0!</v>
      </c>
      <c r="J20" s="9">
        <f t="shared" si="3"/>
        <v>55.473134165860024</v>
      </c>
    </row>
    <row r="21" spans="1:10" ht="16.5" customHeight="1">
      <c r="A21" s="3" t="s">
        <v>23</v>
      </c>
      <c r="B21" s="8" t="s">
        <v>24</v>
      </c>
      <c r="C21" s="9"/>
      <c r="D21" s="9">
        <v>84800</v>
      </c>
      <c r="E21" s="15">
        <v>84800</v>
      </c>
      <c r="F21" s="15">
        <f>7961+35574.45</f>
        <v>43535.45</v>
      </c>
      <c r="G21" s="15">
        <f t="shared" si="1"/>
        <v>41264.550000000003</v>
      </c>
      <c r="H21" s="9">
        <v>0</v>
      </c>
      <c r="I21" s="9" t="e">
        <f t="shared" si="2"/>
        <v>#DIV/0!</v>
      </c>
      <c r="J21" s="9">
        <f t="shared" si="3"/>
        <v>51.338974056603767</v>
      </c>
    </row>
    <row r="22" spans="1:10">
      <c r="A22" s="3" t="s">
        <v>50</v>
      </c>
      <c r="B22" s="8" t="s">
        <v>25</v>
      </c>
      <c r="C22" s="9"/>
      <c r="D22" s="15">
        <f>D23+D24</f>
        <v>4061600</v>
      </c>
      <c r="E22" s="15">
        <f>E23+E24</f>
        <v>3224640</v>
      </c>
      <c r="F22" s="15">
        <f>F23+F24</f>
        <v>2725972.93</v>
      </c>
      <c r="G22" s="15">
        <f t="shared" si="1"/>
        <v>498667.06999999983</v>
      </c>
      <c r="H22" s="9">
        <f t="shared" si="0"/>
        <v>84.535728949588176</v>
      </c>
      <c r="I22" s="9" t="e">
        <f t="shared" si="2"/>
        <v>#DIV/0!</v>
      </c>
      <c r="J22" s="9">
        <f t="shared" si="3"/>
        <v>67.115740841047867</v>
      </c>
    </row>
    <row r="23" spans="1:10">
      <c r="A23" s="4" t="s">
        <v>59</v>
      </c>
      <c r="B23" s="8" t="s">
        <v>25</v>
      </c>
      <c r="C23" s="9"/>
      <c r="D23" s="9">
        <v>2860800</v>
      </c>
      <c r="E23" s="15">
        <v>2322640</v>
      </c>
      <c r="F23" s="15">
        <f>852974.48+6495.18+256272.22+1650+338647.26+190758.57+204048+94963</f>
        <v>1945808.7100000002</v>
      </c>
      <c r="G23" s="15">
        <f t="shared" si="1"/>
        <v>376831.2899999998</v>
      </c>
      <c r="H23" s="9">
        <f t="shared" si="0"/>
        <v>83.775734078462449</v>
      </c>
      <c r="I23" s="9" t="e">
        <f t="shared" si="2"/>
        <v>#DIV/0!</v>
      </c>
      <c r="J23" s="9">
        <f t="shared" si="3"/>
        <v>68.016244057606272</v>
      </c>
    </row>
    <row r="24" spans="1:10">
      <c r="A24" s="4" t="s">
        <v>27</v>
      </c>
      <c r="B24" s="8" t="s">
        <v>25</v>
      </c>
      <c r="C24" s="9"/>
      <c r="D24" s="9">
        <v>1200800</v>
      </c>
      <c r="E24" s="15">
        <v>902000</v>
      </c>
      <c r="F24" s="15">
        <f>470009.66+5372.98+118728.27+4098.89+33976.41+600+17493.12+4270.23+117778.94+7835.72</f>
        <v>780164.22</v>
      </c>
      <c r="G24" s="15">
        <f t="shared" si="1"/>
        <v>121835.78000000003</v>
      </c>
      <c r="H24" s="9">
        <f t="shared" si="0"/>
        <v>86.492707317073169</v>
      </c>
      <c r="I24" s="9" t="e">
        <f t="shared" si="2"/>
        <v>#DIV/0!</v>
      </c>
      <c r="J24" s="9">
        <f t="shared" si="3"/>
        <v>64.970371419053961</v>
      </c>
    </row>
    <row r="25" spans="1:10" ht="18.75" customHeight="1">
      <c r="A25" s="3" t="s">
        <v>45</v>
      </c>
      <c r="B25" s="8" t="s">
        <v>47</v>
      </c>
      <c r="C25" s="9"/>
      <c r="D25" s="9">
        <v>100000</v>
      </c>
      <c r="E25" s="15">
        <v>91000</v>
      </c>
      <c r="F25" s="15">
        <v>87500</v>
      </c>
      <c r="G25" s="15">
        <f t="shared" si="1"/>
        <v>3500</v>
      </c>
      <c r="H25" s="9">
        <f t="shared" si="0"/>
        <v>96.15384615384616</v>
      </c>
      <c r="I25" s="9"/>
      <c r="J25" s="9">
        <f t="shared" si="3"/>
        <v>87.5</v>
      </c>
    </row>
    <row r="26" spans="1:10" ht="18" customHeight="1">
      <c r="A26" s="3" t="s">
        <v>48</v>
      </c>
      <c r="B26" s="8" t="s">
        <v>28</v>
      </c>
      <c r="C26" s="9"/>
      <c r="D26" s="9">
        <v>307048</v>
      </c>
      <c r="E26" s="15">
        <v>216400</v>
      </c>
      <c r="F26" s="15">
        <v>131210.53</v>
      </c>
      <c r="G26" s="15">
        <f t="shared" si="1"/>
        <v>85189.47</v>
      </c>
      <c r="H26" s="9">
        <f t="shared" si="0"/>
        <v>60.633331792975973</v>
      </c>
      <c r="I26" s="9" t="e">
        <f t="shared" si="2"/>
        <v>#DIV/0!</v>
      </c>
      <c r="J26" s="9">
        <f t="shared" si="3"/>
        <v>42.732904952971523</v>
      </c>
    </row>
    <row r="27" spans="1:10">
      <c r="A27" s="3" t="s">
        <v>29</v>
      </c>
      <c r="B27" s="8" t="s">
        <v>30</v>
      </c>
      <c r="C27" s="9"/>
      <c r="D27" s="15">
        <f>3325.6+12430+170944.4+46400</f>
        <v>233100</v>
      </c>
      <c r="E27" s="15">
        <f>3325.6+12430+170944.4+46400</f>
        <v>233100</v>
      </c>
      <c r="F27" s="15">
        <f>3325.6+12430+170905.2+46400</f>
        <v>233060.80000000002</v>
      </c>
      <c r="G27" s="15">
        <f t="shared" si="1"/>
        <v>39.199999999982538</v>
      </c>
      <c r="H27" s="9">
        <f t="shared" si="0"/>
        <v>99.983183183183186</v>
      </c>
      <c r="I27" s="9" t="e">
        <f t="shared" si="2"/>
        <v>#DIV/0!</v>
      </c>
      <c r="J27" s="9">
        <f t="shared" si="3"/>
        <v>99.983183183183186</v>
      </c>
    </row>
    <row r="28" spans="1:10">
      <c r="A28" s="4" t="s">
        <v>60</v>
      </c>
      <c r="B28" s="8" t="s">
        <v>30</v>
      </c>
      <c r="C28" s="9"/>
      <c r="D28" s="9">
        <f>183900+800+48100+6000+79100+181700+20900+95000</f>
        <v>615500</v>
      </c>
      <c r="E28" s="15">
        <v>280860</v>
      </c>
      <c r="F28" s="15">
        <f>47720.19+800+10845.54+3867.2+9800+62220</f>
        <v>135252.93</v>
      </c>
      <c r="G28" s="15">
        <f t="shared" si="1"/>
        <v>145607.07</v>
      </c>
      <c r="H28" s="9">
        <f t="shared" si="0"/>
        <v>48.156707968382825</v>
      </c>
      <c r="I28" s="9" t="e">
        <f t="shared" si="2"/>
        <v>#DIV/0!</v>
      </c>
      <c r="J28" s="9">
        <f t="shared" si="3"/>
        <v>21.974480909829406</v>
      </c>
    </row>
    <row r="29" spans="1:10" ht="31.5" customHeight="1">
      <c r="A29" s="3" t="s">
        <v>49</v>
      </c>
      <c r="B29" s="8" t="s">
        <v>31</v>
      </c>
      <c r="C29" s="9"/>
      <c r="D29" s="9">
        <v>70000</v>
      </c>
      <c r="E29" s="15">
        <v>52000</v>
      </c>
      <c r="F29" s="15">
        <v>0</v>
      </c>
      <c r="G29" s="15">
        <f t="shared" si="1"/>
        <v>52000</v>
      </c>
      <c r="H29" s="9">
        <f t="shared" si="0"/>
        <v>0</v>
      </c>
      <c r="I29" s="9" t="e">
        <f t="shared" si="2"/>
        <v>#DIV/0!</v>
      </c>
      <c r="J29" s="9">
        <f t="shared" si="3"/>
        <v>0</v>
      </c>
    </row>
    <row r="30" spans="1:10">
      <c r="A30" s="3" t="s">
        <v>32</v>
      </c>
      <c r="B30" s="8" t="s">
        <v>41</v>
      </c>
      <c r="C30" s="9"/>
      <c r="D30" s="9">
        <v>474600</v>
      </c>
      <c r="E30" s="15">
        <v>355800</v>
      </c>
      <c r="F30" s="15">
        <v>355800</v>
      </c>
      <c r="G30" s="15">
        <f t="shared" si="1"/>
        <v>0</v>
      </c>
      <c r="H30" s="9">
        <f t="shared" si="0"/>
        <v>100</v>
      </c>
      <c r="I30" s="9" t="e">
        <f t="shared" si="2"/>
        <v>#DIV/0!</v>
      </c>
      <c r="J30" s="9">
        <f t="shared" si="3"/>
        <v>74.968394437420983</v>
      </c>
    </row>
    <row r="31" spans="1:10">
      <c r="A31" s="11" t="s">
        <v>34</v>
      </c>
      <c r="B31" s="12"/>
      <c r="C31" s="13"/>
      <c r="D31" s="16">
        <f>D5+D6+D7+D8+D11+D12+D13+D14+D15+D16+D17+D18+D19+D20+D21+D22+D25+D26+D27+D29+D30+D28</f>
        <v>26680693</v>
      </c>
      <c r="E31" s="16">
        <f>E5+E6+E7+E8+E11+E12+E13+E14+E15+E16+E17+E18+E19+E20+E21+E22+E25+E26+E27+E29+E30+E28</f>
        <v>19195213.57</v>
      </c>
      <c r="F31" s="16" t="s">
        <v>63</v>
      </c>
      <c r="G31" s="16">
        <f>G5+G6+G7+G8+G11+G12+G13+G14+G15+G16+G17+G18+G19+G20+G21+G22+G25+G26+G27+G29+G30+G28</f>
        <v>3010831.7899999986</v>
      </c>
      <c r="H31" s="13" t="e">
        <f t="shared" si="0"/>
        <v>#VALUE!</v>
      </c>
      <c r="I31" s="13" t="e">
        <f t="shared" si="2"/>
        <v>#DIV/0!</v>
      </c>
      <c r="J31" s="13" t="e">
        <f t="shared" si="3"/>
        <v>#VALUE!</v>
      </c>
    </row>
    <row r="33" spans="1:9" ht="17.25" customHeight="1">
      <c r="A33" s="149" t="s">
        <v>38</v>
      </c>
      <c r="B33" s="149"/>
      <c r="C33" s="149"/>
      <c r="D33" s="17"/>
      <c r="E33" s="14"/>
      <c r="F33" s="150" t="s">
        <v>39</v>
      </c>
      <c r="G33" s="150"/>
      <c r="H33" s="150"/>
      <c r="I33" s="150"/>
    </row>
  </sheetData>
  <mergeCells count="3">
    <mergeCell ref="A2:I2"/>
    <mergeCell ref="A33:C33"/>
    <mergeCell ref="F33:I33"/>
  </mergeCells>
  <phoneticPr fontId="13" type="noConversion"/>
  <pageMargins left="0.70866141732283472" right="0.11811023622047245" top="0.1574803149606299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opLeftCell="A16" workbookViewId="0">
      <selection activeCell="D14" sqref="D14"/>
    </sheetView>
  </sheetViews>
  <sheetFormatPr defaultRowHeight="15"/>
  <cols>
    <col min="1" max="1" width="19.42578125" customWidth="1"/>
    <col min="2" max="2" width="32.140625" style="27" customWidth="1"/>
    <col min="3" max="3" width="18" style="32" customWidth="1"/>
    <col min="4" max="4" width="16.5703125" style="32" customWidth="1"/>
    <col min="5" max="5" width="17.5703125" style="32" customWidth="1"/>
    <col min="6" max="6" width="8.28515625" customWidth="1"/>
  </cols>
  <sheetData>
    <row r="1" spans="1:6" ht="60.75" customHeight="1">
      <c r="A1" s="157" t="s">
        <v>65</v>
      </c>
      <c r="B1" s="159" t="s">
        <v>66</v>
      </c>
      <c r="C1" s="161" t="s">
        <v>67</v>
      </c>
      <c r="D1" s="161" t="s">
        <v>68</v>
      </c>
      <c r="E1" s="57" t="s">
        <v>69</v>
      </c>
      <c r="F1" s="64" t="s">
        <v>115</v>
      </c>
    </row>
    <row r="2" spans="1:6" ht="15.75" thickBot="1">
      <c r="A2" s="158"/>
      <c r="B2" s="160"/>
      <c r="C2" s="162"/>
      <c r="D2" s="162"/>
      <c r="E2" s="58" t="s">
        <v>70</v>
      </c>
      <c r="F2" s="64"/>
    </row>
    <row r="3" spans="1:6" ht="38.25" customHeight="1" thickBot="1">
      <c r="A3" s="19" t="s">
        <v>71</v>
      </c>
      <c r="B3" s="21" t="s">
        <v>72</v>
      </c>
      <c r="C3" s="28">
        <v>5220000</v>
      </c>
      <c r="D3" s="28">
        <v>906034.63</v>
      </c>
      <c r="E3" s="59">
        <v>-4313965.37</v>
      </c>
      <c r="F3" s="65">
        <f>D3/C3*100</f>
        <v>17.356985249042147</v>
      </c>
    </row>
    <row r="4" spans="1:6" ht="25.5" customHeight="1" thickBot="1">
      <c r="A4" s="19" t="s">
        <v>73</v>
      </c>
      <c r="B4" s="21" t="s">
        <v>74</v>
      </c>
      <c r="C4" s="28">
        <v>785000</v>
      </c>
      <c r="D4" s="28">
        <v>120105.76</v>
      </c>
      <c r="E4" s="59">
        <v>-664894.24</v>
      </c>
      <c r="F4" s="65">
        <f>D4/C4*100</f>
        <v>15.300096815286624</v>
      </c>
    </row>
    <row r="5" spans="1:6" ht="19.5" customHeight="1" thickBot="1">
      <c r="A5" s="19" t="s">
        <v>75</v>
      </c>
      <c r="B5" s="21" t="s">
        <v>76</v>
      </c>
      <c r="C5" s="28">
        <v>1177000</v>
      </c>
      <c r="D5" s="28">
        <v>45387.6</v>
      </c>
      <c r="E5" s="59">
        <v>-1131612.3999999999</v>
      </c>
      <c r="F5" s="65">
        <f>D5/C5*100</f>
        <v>3.8562107051826682</v>
      </c>
    </row>
    <row r="6" spans="1:6" ht="13.5" customHeight="1">
      <c r="A6" s="153" t="s">
        <v>77</v>
      </c>
      <c r="B6" s="22" t="s">
        <v>78</v>
      </c>
      <c r="C6" s="155">
        <v>10110000</v>
      </c>
      <c r="D6" s="155">
        <v>2683258.98</v>
      </c>
      <c r="E6" s="163">
        <v>-7428741.0199999996</v>
      </c>
      <c r="F6" s="65">
        <f t="shared" ref="F6:F26" si="0">D6/C6*100</f>
        <v>26.540642729970326</v>
      </c>
    </row>
    <row r="7" spans="1:6" ht="13.5" customHeight="1" thickBot="1">
      <c r="A7" s="154"/>
      <c r="B7" s="21" t="s">
        <v>79</v>
      </c>
      <c r="C7" s="156"/>
      <c r="D7" s="156"/>
      <c r="E7" s="164"/>
      <c r="F7" s="65"/>
    </row>
    <row r="8" spans="1:6" ht="37.5" customHeight="1" thickBot="1">
      <c r="A8" s="19" t="s">
        <v>80</v>
      </c>
      <c r="B8" s="23" t="s">
        <v>81</v>
      </c>
      <c r="C8" s="29">
        <v>5520000</v>
      </c>
      <c r="D8" s="29">
        <v>764872.92</v>
      </c>
      <c r="E8" s="60">
        <v>-4757127.0599999996</v>
      </c>
      <c r="F8" s="65">
        <f t="shared" si="0"/>
        <v>13.85639347826087</v>
      </c>
    </row>
    <row r="9" spans="1:6" ht="34.5" thickBot="1">
      <c r="A9" s="19" t="s">
        <v>82</v>
      </c>
      <c r="B9" s="23" t="s">
        <v>83</v>
      </c>
      <c r="C9" s="29">
        <v>4590000</v>
      </c>
      <c r="D9" s="29">
        <v>1917431.7</v>
      </c>
      <c r="E9" s="60">
        <v>-2672568.2999999998</v>
      </c>
      <c r="F9" s="65">
        <f t="shared" si="0"/>
        <v>41.774111111111111</v>
      </c>
    </row>
    <row r="10" spans="1:6" ht="23.25" thickBot="1">
      <c r="A10" s="19" t="s">
        <v>84</v>
      </c>
      <c r="B10" s="23" t="s">
        <v>85</v>
      </c>
      <c r="C10" s="29">
        <v>0</v>
      </c>
      <c r="D10" s="29">
        <v>954.34</v>
      </c>
      <c r="E10" s="60">
        <v>954.34</v>
      </c>
      <c r="F10" s="65" t="e">
        <f t="shared" si="0"/>
        <v>#DIV/0!</v>
      </c>
    </row>
    <row r="11" spans="1:6" ht="21">
      <c r="A11" s="153" t="s">
        <v>86</v>
      </c>
      <c r="B11" s="22" t="s">
        <v>87</v>
      </c>
      <c r="C11" s="155">
        <v>2308000</v>
      </c>
      <c r="D11" s="155">
        <v>174530.63</v>
      </c>
      <c r="E11" s="163">
        <v>-2133469.37</v>
      </c>
      <c r="F11" s="65">
        <f t="shared" si="0"/>
        <v>7.5619857019064121</v>
      </c>
    </row>
    <row r="12" spans="1:6" ht="15.75" thickBot="1">
      <c r="A12" s="154"/>
      <c r="B12" s="21" t="s">
        <v>79</v>
      </c>
      <c r="C12" s="156"/>
      <c r="D12" s="156"/>
      <c r="E12" s="164"/>
      <c r="F12" s="65"/>
    </row>
    <row r="13" spans="1:6" ht="38.25" customHeight="1" thickBot="1">
      <c r="A13" s="19" t="s">
        <v>88</v>
      </c>
      <c r="B13" s="23" t="s">
        <v>112</v>
      </c>
      <c r="C13" s="29">
        <v>1300000</v>
      </c>
      <c r="D13" s="51"/>
      <c r="E13" s="61">
        <v>-20439.72</v>
      </c>
      <c r="F13" s="65">
        <f t="shared" si="0"/>
        <v>0</v>
      </c>
    </row>
    <row r="14" spans="1:6" ht="48" customHeight="1" thickBot="1">
      <c r="A14" s="19" t="s">
        <v>89</v>
      </c>
      <c r="B14" s="23" t="s">
        <v>113</v>
      </c>
      <c r="C14" s="29">
        <v>968000</v>
      </c>
      <c r="D14" s="52"/>
      <c r="E14" s="60">
        <v>34012.31</v>
      </c>
      <c r="F14" s="65">
        <f t="shared" si="0"/>
        <v>0</v>
      </c>
    </row>
    <row r="15" spans="1:6" ht="43.5" customHeight="1" thickBot="1">
      <c r="A15" s="19" t="s">
        <v>90</v>
      </c>
      <c r="B15" s="23" t="s">
        <v>114</v>
      </c>
      <c r="C15" s="29">
        <v>40000</v>
      </c>
      <c r="D15" s="53"/>
      <c r="E15" s="60">
        <v>-30156.04</v>
      </c>
      <c r="F15" s="65">
        <f t="shared" si="0"/>
        <v>0</v>
      </c>
    </row>
    <row r="16" spans="1:6" ht="36" customHeight="1" thickBot="1">
      <c r="A16" s="19" t="s">
        <v>91</v>
      </c>
      <c r="B16" s="21" t="s">
        <v>92</v>
      </c>
      <c r="C16" s="28">
        <v>50000</v>
      </c>
      <c r="D16" s="28">
        <v>0</v>
      </c>
      <c r="E16" s="59">
        <v>-50000</v>
      </c>
      <c r="F16" s="65">
        <f t="shared" si="0"/>
        <v>0</v>
      </c>
    </row>
    <row r="17" spans="1:6" ht="33.75" customHeight="1" thickBot="1">
      <c r="A17" s="19" t="s">
        <v>93</v>
      </c>
      <c r="B17" s="24" t="s">
        <v>94</v>
      </c>
      <c r="C17" s="30">
        <v>5513000</v>
      </c>
      <c r="D17" s="30">
        <v>488848.89</v>
      </c>
      <c r="E17" s="59">
        <v>-5024151.1100000003</v>
      </c>
      <c r="F17" s="65">
        <f t="shared" si="0"/>
        <v>8.8672027933974249</v>
      </c>
    </row>
    <row r="18" spans="1:6" ht="58.5" customHeight="1" thickBot="1">
      <c r="A18" s="19" t="s">
        <v>95</v>
      </c>
      <c r="B18" s="25" t="s">
        <v>96</v>
      </c>
      <c r="C18" s="28">
        <v>0</v>
      </c>
      <c r="D18" s="28">
        <v>2500</v>
      </c>
      <c r="E18" s="59">
        <v>2500</v>
      </c>
      <c r="F18" s="65" t="e">
        <f t="shared" si="0"/>
        <v>#DIV/0!</v>
      </c>
    </row>
    <row r="19" spans="1:6" ht="29.25" customHeight="1" thickBot="1">
      <c r="A19" s="19" t="s">
        <v>97</v>
      </c>
      <c r="B19" s="25" t="s">
        <v>98</v>
      </c>
      <c r="C19" s="28">
        <v>0</v>
      </c>
      <c r="D19" s="28">
        <v>7562.6</v>
      </c>
      <c r="E19" s="59" t="s">
        <v>99</v>
      </c>
      <c r="F19" s="65" t="e">
        <f t="shared" si="0"/>
        <v>#DIV/0!</v>
      </c>
    </row>
    <row r="20" spans="1:6" ht="40.5" customHeight="1" thickBot="1">
      <c r="A20" s="19" t="s">
        <v>100</v>
      </c>
      <c r="B20" s="25" t="s">
        <v>101</v>
      </c>
      <c r="C20" s="28">
        <v>0</v>
      </c>
      <c r="D20" s="28">
        <v>0</v>
      </c>
      <c r="E20" s="59">
        <v>0</v>
      </c>
      <c r="F20" s="65" t="e">
        <f t="shared" si="0"/>
        <v>#DIV/0!</v>
      </c>
    </row>
    <row r="21" spans="1:6" ht="34.5" customHeight="1" thickBot="1">
      <c r="A21" s="19" t="s">
        <v>102</v>
      </c>
      <c r="B21" s="25" t="s">
        <v>103</v>
      </c>
      <c r="C21" s="28">
        <v>0</v>
      </c>
      <c r="D21" s="28">
        <v>0</v>
      </c>
      <c r="E21" s="59">
        <v>0</v>
      </c>
      <c r="F21" s="65" t="e">
        <f t="shared" si="0"/>
        <v>#DIV/0!</v>
      </c>
    </row>
    <row r="22" spans="1:6" ht="47.25" customHeight="1" thickBot="1">
      <c r="A22" s="19" t="s">
        <v>104</v>
      </c>
      <c r="B22" s="25" t="s">
        <v>105</v>
      </c>
      <c r="C22" s="28">
        <v>-335.41</v>
      </c>
      <c r="D22" s="28">
        <v>-335.41</v>
      </c>
      <c r="E22" s="59">
        <v>0</v>
      </c>
      <c r="F22" s="65">
        <f t="shared" si="0"/>
        <v>100</v>
      </c>
    </row>
    <row r="23" spans="1:6" ht="15.75" customHeight="1" thickBot="1">
      <c r="A23" s="151" t="s">
        <v>106</v>
      </c>
      <c r="B23" s="152"/>
      <c r="C23" s="30">
        <v>25162664.59</v>
      </c>
      <c r="D23" s="30">
        <v>4427893.68</v>
      </c>
      <c r="E23" s="62">
        <v>-20734770.91</v>
      </c>
      <c r="F23" s="65">
        <f t="shared" si="0"/>
        <v>17.59707786177664</v>
      </c>
    </row>
    <row r="24" spans="1:6" ht="16.5" thickBot="1">
      <c r="A24" s="20" t="s">
        <v>107</v>
      </c>
      <c r="B24" s="26" t="s">
        <v>108</v>
      </c>
      <c r="C24" s="31">
        <v>548800</v>
      </c>
      <c r="D24" s="31">
        <v>543175</v>
      </c>
      <c r="E24" s="63">
        <v>-5625</v>
      </c>
      <c r="F24" s="65">
        <f t="shared" si="0"/>
        <v>98.975036443148696</v>
      </c>
    </row>
    <row r="25" spans="1:6" ht="16.5" thickBot="1">
      <c r="A25" s="151" t="s">
        <v>109</v>
      </c>
      <c r="B25" s="152"/>
      <c r="C25" s="30">
        <v>25711464.59</v>
      </c>
      <c r="D25" s="30">
        <v>4971068.68</v>
      </c>
      <c r="E25" s="62">
        <v>-20740395.91</v>
      </c>
      <c r="F25" s="65">
        <f t="shared" si="0"/>
        <v>19.334054902237678</v>
      </c>
    </row>
    <row r="26" spans="1:6" ht="28.5" customHeight="1" thickBot="1">
      <c r="A26" s="151" t="s">
        <v>110</v>
      </c>
      <c r="B26" s="152"/>
      <c r="C26" s="30">
        <f>C25</f>
        <v>25711464.59</v>
      </c>
      <c r="D26" s="30">
        <f>D25</f>
        <v>4971068.68</v>
      </c>
      <c r="E26" s="62" t="s">
        <v>111</v>
      </c>
      <c r="F26" s="65">
        <f t="shared" si="0"/>
        <v>19.334054902237678</v>
      </c>
    </row>
  </sheetData>
  <mergeCells count="15">
    <mergeCell ref="E11:E12"/>
    <mergeCell ref="A6:A7"/>
    <mergeCell ref="C6:C7"/>
    <mergeCell ref="D6:D7"/>
    <mergeCell ref="E6:E7"/>
    <mergeCell ref="A1:A2"/>
    <mergeCell ref="B1:B2"/>
    <mergeCell ref="C1:C2"/>
    <mergeCell ref="D1:D2"/>
    <mergeCell ref="A23:B23"/>
    <mergeCell ref="A25:B25"/>
    <mergeCell ref="A26:B26"/>
    <mergeCell ref="A11:A12"/>
    <mergeCell ref="C11:C12"/>
    <mergeCell ref="D11:D12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8.425781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34">
        <v>100</v>
      </c>
      <c r="B2" s="24" t="s">
        <v>119</v>
      </c>
      <c r="C2" s="43">
        <f>SUM(C3:C6)</f>
        <v>12561900</v>
      </c>
      <c r="D2" s="43">
        <f>SUM(D3:D6)</f>
        <v>2307460.75</v>
      </c>
      <c r="E2" s="55">
        <f>D2-C2</f>
        <v>-10254439.25</v>
      </c>
      <c r="F2" s="56">
        <f>D2/C2*100</f>
        <v>18.36872407836394</v>
      </c>
    </row>
    <row r="3" spans="1:7" ht="23.25" thickBot="1">
      <c r="A3" s="35">
        <v>102</v>
      </c>
      <c r="B3" s="26" t="s">
        <v>120</v>
      </c>
      <c r="C3" s="44">
        <v>768900</v>
      </c>
      <c r="D3" s="44">
        <v>92396.3</v>
      </c>
      <c r="E3" s="55">
        <f t="shared" ref="E3:E32" si="0">D3-C3</f>
        <v>-676503.7</v>
      </c>
      <c r="F3" s="56">
        <f>D3/C3*100</f>
        <v>12.016686175055275</v>
      </c>
    </row>
    <row r="4" spans="1:7" ht="45.75" thickBot="1">
      <c r="A4" s="35">
        <v>104</v>
      </c>
      <c r="B4" s="26" t="s">
        <v>4</v>
      </c>
      <c r="C4" s="44">
        <v>4980400</v>
      </c>
      <c r="D4" s="44">
        <v>692345.46</v>
      </c>
      <c r="E4" s="55">
        <f t="shared" si="0"/>
        <v>-4288054.54</v>
      </c>
      <c r="F4" s="56">
        <f>D4/C4*100</f>
        <v>13.901402698578428</v>
      </c>
    </row>
    <row r="5" spans="1:7" ht="16.5" thickBot="1">
      <c r="A5" s="35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3" si="1">D5/C5*100</f>
        <v>0</v>
      </c>
    </row>
    <row r="6" spans="1:7" ht="16.5" thickBot="1">
      <c r="A6" s="35">
        <v>113</v>
      </c>
      <c r="B6" s="26" t="s">
        <v>121</v>
      </c>
      <c r="C6" s="44">
        <v>6762600</v>
      </c>
      <c r="D6" s="45">
        <v>1522718.99</v>
      </c>
      <c r="E6" s="55">
        <f t="shared" si="0"/>
        <v>-5239881.01</v>
      </c>
      <c r="F6" s="56">
        <f t="shared" si="1"/>
        <v>22.51676855055748</v>
      </c>
    </row>
    <row r="7" spans="1:7" ht="16.5" thickBot="1">
      <c r="A7" s="34">
        <v>200</v>
      </c>
      <c r="B7" s="24" t="s">
        <v>122</v>
      </c>
      <c r="C7" s="43">
        <f>C8</f>
        <v>295300</v>
      </c>
      <c r="D7" s="43">
        <f>D8</f>
        <v>29407.34</v>
      </c>
      <c r="E7" s="55">
        <f t="shared" si="0"/>
        <v>-265892.65999999997</v>
      </c>
      <c r="F7" s="56">
        <f t="shared" si="1"/>
        <v>9.9584625804266835</v>
      </c>
    </row>
    <row r="8" spans="1:7" ht="16.5" thickBot="1">
      <c r="A8" s="35">
        <v>203</v>
      </c>
      <c r="B8" s="26" t="s">
        <v>123</v>
      </c>
      <c r="C8" s="44">
        <v>295300</v>
      </c>
      <c r="D8" s="44">
        <v>29407.34</v>
      </c>
      <c r="E8" s="55">
        <f t="shared" si="0"/>
        <v>-265892.65999999997</v>
      </c>
      <c r="F8" s="56">
        <f t="shared" si="1"/>
        <v>9.9584625804266835</v>
      </c>
    </row>
    <row r="9" spans="1:7" ht="21.75" thickBot="1">
      <c r="A9" s="34">
        <v>300</v>
      </c>
      <c r="B9" s="24" t="s">
        <v>124</v>
      </c>
      <c r="C9" s="43">
        <f>SUM(C10:C11)</f>
        <v>728000</v>
      </c>
      <c r="D9" s="43">
        <f>SUM(D10:D11)</f>
        <v>0</v>
      </c>
      <c r="E9" s="55">
        <f t="shared" si="0"/>
        <v>-728000</v>
      </c>
      <c r="F9" s="56">
        <f t="shared" si="1"/>
        <v>0</v>
      </c>
    </row>
    <row r="10" spans="1:7" ht="34.5" thickBot="1">
      <c r="A10" s="35">
        <v>309</v>
      </c>
      <c r="B10" s="37" t="s">
        <v>125</v>
      </c>
      <c r="C10" s="46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35">
        <v>314</v>
      </c>
      <c r="B11" s="38" t="s">
        <v>126</v>
      </c>
      <c r="C11" s="44">
        <v>65000</v>
      </c>
      <c r="D11" s="44">
        <v>0</v>
      </c>
      <c r="E11" s="55">
        <f t="shared" si="0"/>
        <v>-65000</v>
      </c>
      <c r="F11" s="56">
        <f t="shared" si="1"/>
        <v>0</v>
      </c>
    </row>
    <row r="12" spans="1:7" ht="16.5" thickBot="1">
      <c r="A12" s="34">
        <v>400</v>
      </c>
      <c r="B12" s="39" t="s">
        <v>64</v>
      </c>
      <c r="C12" s="43">
        <f>SUM(C13:C14)</f>
        <v>2407400</v>
      </c>
      <c r="D12" s="43">
        <f>SUM(D13:D14)</f>
        <v>0</v>
      </c>
      <c r="E12" s="55">
        <f t="shared" si="0"/>
        <v>-2407400</v>
      </c>
      <c r="F12" s="56">
        <f t="shared" si="1"/>
        <v>0</v>
      </c>
    </row>
    <row r="13" spans="1:7" ht="16.5" thickBot="1">
      <c r="A13" s="35">
        <v>409</v>
      </c>
      <c r="B13" s="26" t="s">
        <v>18</v>
      </c>
      <c r="C13" s="44">
        <v>2077400</v>
      </c>
      <c r="D13" s="44">
        <v>0</v>
      </c>
      <c r="E13" s="55">
        <f t="shared" si="0"/>
        <v>-2077400</v>
      </c>
      <c r="F13" s="56">
        <f t="shared" si="1"/>
        <v>0</v>
      </c>
    </row>
    <row r="14" spans="1:7" ht="23.25" thickBot="1">
      <c r="A14" s="35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34">
        <v>500</v>
      </c>
      <c r="B15" s="24" t="s">
        <v>128</v>
      </c>
      <c r="C15" s="43">
        <f>SUM(C16:C17)</f>
        <v>2453664.59</v>
      </c>
      <c r="D15" s="43">
        <f>SUM(D16:D17)</f>
        <v>1032852.24</v>
      </c>
      <c r="E15" s="55">
        <f t="shared" si="0"/>
        <v>-1420812.3499999999</v>
      </c>
      <c r="F15" s="56">
        <f t="shared" si="1"/>
        <v>42.094271735812114</v>
      </c>
      <c r="G15">
        <f>D15/D33*100</f>
        <v>21.756261140212114</v>
      </c>
    </row>
    <row r="16" spans="1:7" ht="16.5" thickBot="1">
      <c r="A16" s="35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6" ht="16.5" thickBot="1">
      <c r="A17" s="35">
        <v>503</v>
      </c>
      <c r="B17" s="26" t="s">
        <v>22</v>
      </c>
      <c r="C17" s="44">
        <v>2353664.59</v>
      </c>
      <c r="D17" s="44">
        <v>1032852.24</v>
      </c>
      <c r="E17" s="55">
        <f t="shared" si="0"/>
        <v>-1320812.3499999999</v>
      </c>
      <c r="F17" s="56">
        <f t="shared" si="1"/>
        <v>43.882728422234543</v>
      </c>
    </row>
    <row r="18" spans="1:6" ht="16.5" thickBot="1">
      <c r="A18" s="34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6" ht="16.5" thickBot="1">
      <c r="A19" s="35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6" ht="16.5" thickBot="1">
      <c r="A20" s="34">
        <v>800</v>
      </c>
      <c r="B20" s="24" t="s">
        <v>130</v>
      </c>
      <c r="C20" s="43">
        <f>SUM(C21:C22)</f>
        <v>5653600</v>
      </c>
      <c r="D20" s="43">
        <f>SUM(D21:D22)</f>
        <v>1032501.82</v>
      </c>
      <c r="E20" s="55">
        <f t="shared" si="0"/>
        <v>-4621098.18</v>
      </c>
      <c r="F20" s="56">
        <f t="shared" si="1"/>
        <v>18.26273206452526</v>
      </c>
    </row>
    <row r="21" spans="1:6" ht="16.5" thickBot="1">
      <c r="A21" s="35">
        <v>801</v>
      </c>
      <c r="B21" s="26" t="s">
        <v>131</v>
      </c>
      <c r="C21" s="44">
        <v>5403600</v>
      </c>
      <c r="D21" s="44">
        <v>1026421.82</v>
      </c>
      <c r="E21" s="55">
        <f t="shared" si="0"/>
        <v>-4377178.18</v>
      </c>
      <c r="F21" s="56">
        <f t="shared" si="1"/>
        <v>18.995148049448517</v>
      </c>
    </row>
    <row r="22" spans="1:6" ht="16.5" thickBot="1">
      <c r="A22" s="35">
        <v>804</v>
      </c>
      <c r="B22" s="26" t="s">
        <v>132</v>
      </c>
      <c r="C22" s="44">
        <v>250000</v>
      </c>
      <c r="D22" s="44">
        <v>6080</v>
      </c>
      <c r="E22" s="55">
        <f t="shared" si="0"/>
        <v>-243920</v>
      </c>
      <c r="F22" s="56">
        <f t="shared" si="1"/>
        <v>2.4319999999999999</v>
      </c>
    </row>
    <row r="23" spans="1:6" ht="16.5" thickBot="1">
      <c r="A23" s="34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6" ht="16.5" thickBot="1">
      <c r="A24" s="35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6" ht="16.5" thickBot="1">
      <c r="A25" s="34">
        <v>1100</v>
      </c>
      <c r="B25" s="24" t="s">
        <v>135</v>
      </c>
      <c r="C25" s="43">
        <f>C26</f>
        <v>1340000</v>
      </c>
      <c r="D25" s="43">
        <f>D26</f>
        <v>284281.43</v>
      </c>
      <c r="E25" s="55">
        <f t="shared" si="0"/>
        <v>-1055718.57</v>
      </c>
      <c r="F25" s="56">
        <f t="shared" si="1"/>
        <v>21.215032089552238</v>
      </c>
    </row>
    <row r="26" spans="1:6" ht="16.5" thickBot="1">
      <c r="A26" s="35">
        <v>1101</v>
      </c>
      <c r="B26" s="26" t="s">
        <v>136</v>
      </c>
      <c r="C26" s="44">
        <v>1340000</v>
      </c>
      <c r="D26" s="44">
        <v>284281.43</v>
      </c>
      <c r="E26" s="55">
        <f t="shared" si="0"/>
        <v>-1055718.57</v>
      </c>
      <c r="F26" s="56">
        <f t="shared" si="1"/>
        <v>21.215032089552238</v>
      </c>
    </row>
    <row r="27" spans="1:6" ht="16.5" thickBot="1">
      <c r="A27" s="35">
        <v>1200</v>
      </c>
      <c r="B27" s="24" t="s">
        <v>137</v>
      </c>
      <c r="C27" s="47">
        <f>C28</f>
        <v>90000</v>
      </c>
      <c r="D27" s="48">
        <f>D28</f>
        <v>9000</v>
      </c>
      <c r="E27" s="55">
        <f t="shared" si="0"/>
        <v>-81000</v>
      </c>
      <c r="F27" s="56">
        <f t="shared" si="1"/>
        <v>10</v>
      </c>
    </row>
    <row r="28" spans="1:6" ht="16.5" thickBot="1">
      <c r="A28" s="35">
        <v>1202</v>
      </c>
      <c r="B28" s="26" t="s">
        <v>138</v>
      </c>
      <c r="C28" s="49">
        <v>90000</v>
      </c>
      <c r="D28" s="50">
        <v>9000</v>
      </c>
      <c r="E28" s="55">
        <f t="shared" si="0"/>
        <v>-81000</v>
      </c>
      <c r="F28" s="56">
        <f t="shared" si="1"/>
        <v>10</v>
      </c>
    </row>
    <row r="29" spans="1:6" ht="15" customHeight="1" thickBot="1">
      <c r="A29" s="169" t="s">
        <v>139</v>
      </c>
      <c r="B29" s="40" t="s">
        <v>140</v>
      </c>
      <c r="C29" s="171">
        <f>C31</f>
        <v>222037.11</v>
      </c>
      <c r="D29" s="171">
        <f>D31</f>
        <v>51875.73</v>
      </c>
      <c r="E29" s="55">
        <f t="shared" si="0"/>
        <v>-170161.37999999998</v>
      </c>
      <c r="F29" s="56">
        <f t="shared" si="1"/>
        <v>23.363540446009232</v>
      </c>
    </row>
    <row r="30" spans="1:6" ht="12" customHeight="1" thickBot="1">
      <c r="A30" s="170"/>
      <c r="B30" s="24" t="s">
        <v>141</v>
      </c>
      <c r="C30" s="172"/>
      <c r="D30" s="172"/>
      <c r="E30" s="55">
        <f t="shared" si="0"/>
        <v>0</v>
      </c>
      <c r="F30" s="56"/>
    </row>
    <row r="31" spans="1:6" ht="15" customHeight="1" thickBot="1">
      <c r="A31" s="165" t="s">
        <v>142</v>
      </c>
      <c r="B31" s="41" t="s">
        <v>143</v>
      </c>
      <c r="C31" s="167">
        <v>222037.11</v>
      </c>
      <c r="D31" s="167">
        <v>51875.73</v>
      </c>
      <c r="E31" s="55">
        <f t="shared" si="0"/>
        <v>-170161.37999999998</v>
      </c>
      <c r="F31" s="56">
        <f t="shared" si="1"/>
        <v>23.363540446009232</v>
      </c>
    </row>
    <row r="32" spans="1:6" ht="9" customHeight="1" thickBot="1">
      <c r="A32" s="166"/>
      <c r="B32" s="26" t="s">
        <v>144</v>
      </c>
      <c r="C32" s="168"/>
      <c r="D32" s="168"/>
      <c r="E32" s="55">
        <f t="shared" si="0"/>
        <v>0</v>
      </c>
      <c r="F32" s="56"/>
    </row>
    <row r="33" spans="1:6" ht="16.5" thickBot="1">
      <c r="A33" s="34">
        <v>9800</v>
      </c>
      <c r="B33" s="24" t="s">
        <v>145</v>
      </c>
      <c r="C33" s="43">
        <f>C29+C27+C25+C23+C20+C18+C15+C12+C9+C7+C2</f>
        <v>25911901.699999999</v>
      </c>
      <c r="D33" s="43">
        <f>D29+D27+D25+D23+D20+D18+D15+D12+D9+D7+D2</f>
        <v>4747379.3099999996</v>
      </c>
      <c r="E33" s="47">
        <f>E29+E27+E25+E23+E20+E18+E15+E12+E9+E7+E2</f>
        <v>-21164522.390000001</v>
      </c>
      <c r="F33" s="56">
        <f t="shared" si="1"/>
        <v>18.321230780217107</v>
      </c>
    </row>
  </sheetData>
  <mergeCells count="6">
    <mergeCell ref="A31:A32"/>
    <mergeCell ref="C31:C32"/>
    <mergeCell ref="D31:D32"/>
    <mergeCell ref="A29:A30"/>
    <mergeCell ref="C29:C30"/>
    <mergeCell ref="D29:D30"/>
  </mergeCells>
  <phoneticPr fontId="1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57" t="s">
        <v>65</v>
      </c>
      <c r="B1" s="159" t="s">
        <v>66</v>
      </c>
      <c r="C1" s="175" t="s">
        <v>67</v>
      </c>
      <c r="D1" s="161" t="s">
        <v>68</v>
      </c>
      <c r="E1" s="57" t="s">
        <v>69</v>
      </c>
      <c r="F1" s="64" t="s">
        <v>115</v>
      </c>
    </row>
    <row r="2" spans="1:6" ht="15.75" thickBot="1">
      <c r="A2" s="158"/>
      <c r="B2" s="160"/>
      <c r="C2" s="176"/>
      <c r="D2" s="162"/>
      <c r="E2" s="58" t="s">
        <v>70</v>
      </c>
      <c r="F2" s="64"/>
    </row>
    <row r="3" spans="1:6" ht="38.25" customHeight="1" thickBot="1">
      <c r="A3" s="66" t="s">
        <v>71</v>
      </c>
      <c r="B3" s="21" t="s">
        <v>72</v>
      </c>
      <c r="C3" s="77">
        <v>5220000</v>
      </c>
      <c r="D3" s="28">
        <f>2680215.98+30979.35+56644.12+17100.07+1756.43+4290+120</f>
        <v>2791105.95</v>
      </c>
      <c r="E3" s="59">
        <f>C3-D3</f>
        <v>2428894.0499999998</v>
      </c>
      <c r="F3" s="65">
        <f>D3/C3*100</f>
        <v>53.46946264367817</v>
      </c>
    </row>
    <row r="4" spans="1:6" ht="25.5" customHeight="1" thickBot="1">
      <c r="A4" s="66" t="s">
        <v>73</v>
      </c>
      <c r="B4" s="21" t="s">
        <v>74</v>
      </c>
      <c r="C4" s="77">
        <v>785000</v>
      </c>
      <c r="D4" s="28">
        <f>347750.9+254.98+212.09-0.99</f>
        <v>348216.98000000004</v>
      </c>
      <c r="E4" s="59">
        <f>C4-D4</f>
        <v>436783.01999999996</v>
      </c>
      <c r="F4" s="65">
        <f>D4/C4*100</f>
        <v>44.35885095541402</v>
      </c>
    </row>
    <row r="5" spans="1:6" ht="19.5" customHeight="1" thickBot="1">
      <c r="A5" s="66" t="s">
        <v>75</v>
      </c>
      <c r="B5" s="21" t="s">
        <v>76</v>
      </c>
      <c r="C5" s="77">
        <v>1177000</v>
      </c>
      <c r="D5" s="28">
        <f>156416.32+1659.08</f>
        <v>158075.4</v>
      </c>
      <c r="E5" s="59">
        <f>C5-D5</f>
        <v>1018924.6</v>
      </c>
      <c r="F5" s="65">
        <f>D5/C5*100</f>
        <v>13.430365335598978</v>
      </c>
    </row>
    <row r="6" spans="1:6" ht="13.5" customHeight="1">
      <c r="A6" s="153" t="s">
        <v>77</v>
      </c>
      <c r="B6" s="22" t="s">
        <v>78</v>
      </c>
      <c r="C6" s="177">
        <f>SUM(C8:C9)</f>
        <v>10110000</v>
      </c>
      <c r="D6" s="155">
        <f>SUM(D8:D10)</f>
        <v>3767762.52</v>
      </c>
      <c r="E6" s="155">
        <f>SUM(E8:E9)</f>
        <v>6343634.9700000007</v>
      </c>
      <c r="F6" s="65">
        <f t="shared" ref="F6:F27" si="0">D6/C6*100</f>
        <v>37.267680712166175</v>
      </c>
    </row>
    <row r="7" spans="1:6" ht="13.5" customHeight="1" thickBot="1">
      <c r="A7" s="154"/>
      <c r="B7" s="21" t="s">
        <v>79</v>
      </c>
      <c r="C7" s="178"/>
      <c r="D7" s="156"/>
      <c r="E7" s="156"/>
      <c r="F7" s="65"/>
    </row>
    <row r="8" spans="1:6" ht="37.5" customHeight="1" thickBot="1">
      <c r="A8" s="66" t="s">
        <v>80</v>
      </c>
      <c r="B8" s="23" t="s">
        <v>81</v>
      </c>
      <c r="C8" s="78">
        <v>5520000</v>
      </c>
      <c r="D8" s="29">
        <f>1386659.3+14733.98+6990.95</f>
        <v>1408384.23</v>
      </c>
      <c r="E8" s="59">
        <f>C8-D8</f>
        <v>4111615.77</v>
      </c>
      <c r="F8" s="65">
        <f t="shared" si="0"/>
        <v>25.514207065217391</v>
      </c>
    </row>
    <row r="9" spans="1:6" ht="34.5" thickBot="1">
      <c r="A9" s="66" t="s">
        <v>82</v>
      </c>
      <c r="B9" s="23" t="s">
        <v>83</v>
      </c>
      <c r="C9" s="78">
        <v>4590000</v>
      </c>
      <c r="D9" s="29">
        <f>2346061.77+11919.03</f>
        <v>2357980.7999999998</v>
      </c>
      <c r="E9" s="59">
        <f>C9-D9</f>
        <v>2232019.2000000002</v>
      </c>
      <c r="F9" s="65">
        <f t="shared" si="0"/>
        <v>51.372130718954246</v>
      </c>
    </row>
    <row r="10" spans="1:6" ht="23.25" thickBot="1">
      <c r="A10" s="66" t="s">
        <v>149</v>
      </c>
      <c r="B10" s="23" t="s">
        <v>85</v>
      </c>
      <c r="C10" s="78">
        <v>0</v>
      </c>
      <c r="D10" s="29">
        <f>784.77+612.72</f>
        <v>1397.49</v>
      </c>
      <c r="E10" s="59">
        <f>C10-D10</f>
        <v>-1397.49</v>
      </c>
      <c r="F10" s="65" t="e">
        <f t="shared" si="0"/>
        <v>#DIV/0!</v>
      </c>
    </row>
    <row r="11" spans="1:6" ht="21">
      <c r="A11" s="153" t="s">
        <v>86</v>
      </c>
      <c r="B11" s="22" t="s">
        <v>87</v>
      </c>
      <c r="C11" s="177">
        <f>SUM(C13:C15)</f>
        <v>2308000</v>
      </c>
      <c r="D11" s="155">
        <f>SUM(D13:D15)</f>
        <v>529982.33000000007</v>
      </c>
      <c r="E11" s="155">
        <f>SUM(E13:E15)</f>
        <v>1778017.67</v>
      </c>
      <c r="F11" s="173">
        <f t="shared" si="0"/>
        <v>22.962839254766035</v>
      </c>
    </row>
    <row r="12" spans="1:6" ht="15.75" customHeight="1" thickBot="1">
      <c r="A12" s="154"/>
      <c r="B12" s="21" t="s">
        <v>79</v>
      </c>
      <c r="C12" s="178"/>
      <c r="D12" s="156"/>
      <c r="E12" s="156"/>
      <c r="F12" s="174"/>
    </row>
    <row r="13" spans="1:6" ht="38.25" customHeight="1" thickBot="1">
      <c r="A13" s="66" t="s">
        <v>88</v>
      </c>
      <c r="B13" s="23" t="s">
        <v>112</v>
      </c>
      <c r="C13" s="78">
        <v>1300000</v>
      </c>
      <c r="D13" s="74">
        <v>0</v>
      </c>
      <c r="E13" s="59">
        <f t="shared" ref="E13:E22" si="1">C13-D13</f>
        <v>1300000</v>
      </c>
      <c r="F13" s="65">
        <f t="shared" si="0"/>
        <v>0</v>
      </c>
    </row>
    <row r="14" spans="1:6" ht="48" customHeight="1" thickBot="1">
      <c r="A14" s="66" t="s">
        <v>89</v>
      </c>
      <c r="B14" s="23" t="s">
        <v>113</v>
      </c>
      <c r="C14" s="78">
        <v>968000</v>
      </c>
      <c r="D14" s="75">
        <v>525185.03</v>
      </c>
      <c r="E14" s="59">
        <f t="shared" si="1"/>
        <v>442814.97</v>
      </c>
      <c r="F14" s="65">
        <f t="shared" si="0"/>
        <v>54.254651859504136</v>
      </c>
    </row>
    <row r="15" spans="1:6" ht="43.5" customHeight="1" thickBot="1">
      <c r="A15" s="66" t="s">
        <v>90</v>
      </c>
      <c r="B15" s="23" t="s">
        <v>114</v>
      </c>
      <c r="C15" s="78">
        <v>40000</v>
      </c>
      <c r="D15" s="76">
        <v>4797.3</v>
      </c>
      <c r="E15" s="59">
        <f t="shared" si="1"/>
        <v>35202.699999999997</v>
      </c>
      <c r="F15" s="65">
        <f t="shared" si="0"/>
        <v>11.993250000000002</v>
      </c>
    </row>
    <row r="16" spans="1:6" ht="36" customHeight="1" thickBot="1">
      <c r="A16" s="66" t="s">
        <v>91</v>
      </c>
      <c r="B16" s="21" t="s">
        <v>92</v>
      </c>
      <c r="C16" s="77">
        <v>50000</v>
      </c>
      <c r="D16" s="28">
        <v>23573.7</v>
      </c>
      <c r="E16" s="59">
        <f t="shared" si="1"/>
        <v>26426.3</v>
      </c>
      <c r="F16" s="65">
        <f t="shared" si="0"/>
        <v>47.147399999999998</v>
      </c>
    </row>
    <row r="17" spans="1:6" ht="33.75" customHeight="1" thickBot="1">
      <c r="A17" s="66" t="s">
        <v>93</v>
      </c>
      <c r="B17" s="24" t="s">
        <v>94</v>
      </c>
      <c r="C17" s="79">
        <v>5923000</v>
      </c>
      <c r="D17" s="30">
        <f>11759269.46+704191.13</f>
        <v>12463460.590000002</v>
      </c>
      <c r="E17" s="59">
        <f t="shared" si="1"/>
        <v>-6540460.5900000017</v>
      </c>
      <c r="F17" s="65">
        <f t="shared" si="0"/>
        <v>210.4247946986325</v>
      </c>
    </row>
    <row r="18" spans="1:6" ht="55.5" customHeight="1" thickBot="1">
      <c r="A18" s="66" t="s">
        <v>95</v>
      </c>
      <c r="B18" s="25" t="s">
        <v>96</v>
      </c>
      <c r="C18" s="77">
        <v>0</v>
      </c>
      <c r="D18" s="28">
        <v>2500</v>
      </c>
      <c r="E18" s="59">
        <f t="shared" si="1"/>
        <v>-2500</v>
      </c>
      <c r="F18" s="65" t="e">
        <f t="shared" si="0"/>
        <v>#DIV/0!</v>
      </c>
    </row>
    <row r="19" spans="1:6" ht="24.75" customHeight="1" thickBot="1">
      <c r="A19" s="66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66" t="s">
        <v>147</v>
      </c>
      <c r="B20" s="25" t="s">
        <v>148</v>
      </c>
      <c r="C20" s="77">
        <v>0</v>
      </c>
      <c r="D20" s="28">
        <v>30930</v>
      </c>
      <c r="E20" s="59">
        <f t="shared" si="1"/>
        <v>-30930</v>
      </c>
      <c r="F20" s="65" t="e">
        <f t="shared" ref="F20" si="2">D20/C20*100</f>
        <v>#DIV/0!</v>
      </c>
    </row>
    <row r="21" spans="1:6" ht="33.75" customHeight="1" thickBot="1">
      <c r="A21" s="66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66" t="s">
        <v>102</v>
      </c>
      <c r="B22" s="25" t="s">
        <v>103</v>
      </c>
      <c r="C22" s="77">
        <v>0</v>
      </c>
      <c r="D22" s="28">
        <v>7562.6</v>
      </c>
      <c r="E22" s="59">
        <f t="shared" si="1"/>
        <v>-7562.6</v>
      </c>
      <c r="F22" s="65" t="e">
        <f t="shared" si="0"/>
        <v>#DIV/0!</v>
      </c>
    </row>
    <row r="23" spans="1:6" ht="15.75" customHeight="1" thickBot="1">
      <c r="A23" s="151" t="s">
        <v>106</v>
      </c>
      <c r="B23" s="152"/>
      <c r="C23" s="79">
        <f>C17+C16+C11+C6+C5+C4+C3</f>
        <v>25573000</v>
      </c>
      <c r="D23" s="30">
        <f>D17+D16+D11+D6+D5+D4+D3+D18+D19+D20+D21+D22</f>
        <v>20123170.07</v>
      </c>
      <c r="E23" s="30">
        <f t="shared" ref="E23" si="3">SUM(E3:E22)</f>
        <v>13571482.569999997</v>
      </c>
      <c r="F23" s="65">
        <f t="shared" si="0"/>
        <v>78.689125523012549</v>
      </c>
    </row>
    <row r="24" spans="1:6" s="18" customFormat="1" ht="47.25" customHeight="1" thickBot="1">
      <c r="A24" s="66" t="s">
        <v>104</v>
      </c>
      <c r="B24" s="72" t="s">
        <v>105</v>
      </c>
      <c r="C24" s="78">
        <v>-335.41</v>
      </c>
      <c r="D24" s="29">
        <v>-335.41</v>
      </c>
      <c r="E24" s="60">
        <f>C24-D24</f>
        <v>0</v>
      </c>
      <c r="F24" s="73">
        <f>D24/C24*100</f>
        <v>100</v>
      </c>
    </row>
    <row r="25" spans="1:6" ht="16.5" thickBot="1">
      <c r="A25" s="67" t="s">
        <v>107</v>
      </c>
      <c r="B25" s="26" t="s">
        <v>108</v>
      </c>
      <c r="C25" s="80">
        <f>646000+295300+7500+246000</f>
        <v>1194800</v>
      </c>
      <c r="D25" s="31">
        <f>646000+295300+3750+246000</f>
        <v>1191050</v>
      </c>
      <c r="E25" s="59">
        <f>C25-D25</f>
        <v>3750</v>
      </c>
      <c r="F25" s="65">
        <f t="shared" si="0"/>
        <v>99.686139939738865</v>
      </c>
    </row>
    <row r="26" spans="1:6" ht="16.5" thickBot="1">
      <c r="A26" s="151" t="s">
        <v>109</v>
      </c>
      <c r="B26" s="152"/>
      <c r="C26" s="79">
        <f>C23+C24+C25</f>
        <v>26767464.59</v>
      </c>
      <c r="D26" s="30">
        <f>D23+D24+D25</f>
        <v>21313884.66</v>
      </c>
      <c r="E26" s="30">
        <f>E23+E24+E25</f>
        <v>13575232.569999997</v>
      </c>
      <c r="F26" s="65">
        <f t="shared" si="0"/>
        <v>79.626087066769145</v>
      </c>
    </row>
    <row r="27" spans="1:6" ht="28.5" customHeight="1" thickBot="1">
      <c r="A27" s="151" t="s">
        <v>110</v>
      </c>
      <c r="B27" s="152"/>
      <c r="C27" s="79">
        <f>C26</f>
        <v>26767464.59</v>
      </c>
      <c r="D27" s="30">
        <f t="shared" ref="D27:E27" si="4">D26</f>
        <v>21313884.66</v>
      </c>
      <c r="E27" s="30">
        <f t="shared" si="4"/>
        <v>13575232.569999997</v>
      </c>
      <c r="F27" s="65">
        <f t="shared" si="0"/>
        <v>79.626087066769145</v>
      </c>
    </row>
    <row r="34" ht="15" hidden="1" customHeight="1"/>
  </sheetData>
  <mergeCells count="16">
    <mergeCell ref="A26:B26"/>
    <mergeCell ref="A27:B27"/>
    <mergeCell ref="F11:F12"/>
    <mergeCell ref="A1:A2"/>
    <mergeCell ref="B1:B2"/>
    <mergeCell ref="C1:C2"/>
    <mergeCell ref="D1:D2"/>
    <mergeCell ref="A6:A7"/>
    <mergeCell ref="C6:C7"/>
    <mergeCell ref="D6:D7"/>
    <mergeCell ref="E6:E7"/>
    <mergeCell ref="A11:A12"/>
    <mergeCell ref="C11:C12"/>
    <mergeCell ref="D11:D12"/>
    <mergeCell ref="E11:E12"/>
    <mergeCell ref="A23:B23"/>
  </mergeCells>
  <phoneticPr fontId="13" type="noConversion"/>
  <pageMargins left="0.51181102362204722" right="0.51181102362204722" top="0.15748031496062992" bottom="0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70">
        <v>100</v>
      </c>
      <c r="B2" s="24" t="s">
        <v>119</v>
      </c>
      <c r="C2" s="43">
        <f>SUM(C3:C6)</f>
        <v>13123143</v>
      </c>
      <c r="D2" s="43">
        <f>SUM(D3:D6)</f>
        <v>5266838.83</v>
      </c>
      <c r="E2" s="55">
        <f>D2-C2</f>
        <v>-7856304.1699999999</v>
      </c>
      <c r="F2" s="56">
        <f>D2/C2*100</f>
        <v>40.13397423163034</v>
      </c>
    </row>
    <row r="3" spans="1:7" ht="23.25" thickBot="1">
      <c r="A3" s="68">
        <v>102</v>
      </c>
      <c r="B3" s="26" t="s">
        <v>120</v>
      </c>
      <c r="C3" s="44">
        <f>639410+193040</f>
        <v>832450</v>
      </c>
      <c r="D3" s="44">
        <v>311847.3</v>
      </c>
      <c r="E3" s="55">
        <f t="shared" ref="E3:E35" si="0">D3-C3</f>
        <v>-520602.7</v>
      </c>
      <c r="F3" s="56">
        <f>D3/C3*100</f>
        <v>37.461385068172262</v>
      </c>
    </row>
    <row r="4" spans="1:7" ht="45.75" thickBot="1">
      <c r="A4" s="68">
        <v>104</v>
      </c>
      <c r="B4" s="26" t="s">
        <v>4</v>
      </c>
      <c r="C4" s="44">
        <v>5184350</v>
      </c>
      <c r="D4" s="44">
        <v>2012915.98</v>
      </c>
      <c r="E4" s="55">
        <f t="shared" si="0"/>
        <v>-3171434.02</v>
      </c>
      <c r="F4" s="56">
        <f>D4/C4*100</f>
        <v>38.826776355763016</v>
      </c>
    </row>
    <row r="5" spans="1:7" ht="16.5" thickBot="1">
      <c r="A5" s="68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5" si="1">D5/C5*100</f>
        <v>0</v>
      </c>
    </row>
    <row r="6" spans="1:7" ht="16.5" thickBot="1">
      <c r="A6" s="68">
        <v>113</v>
      </c>
      <c r="B6" s="26" t="s">
        <v>121</v>
      </c>
      <c r="C6" s="44">
        <v>7056343</v>
      </c>
      <c r="D6" s="45">
        <v>2942075.55</v>
      </c>
      <c r="E6" s="55">
        <f t="shared" si="0"/>
        <v>-4114267.45</v>
      </c>
      <c r="F6" s="56">
        <f t="shared" si="1"/>
        <v>41.694055263470041</v>
      </c>
    </row>
    <row r="7" spans="1:7" ht="16.5" thickBot="1">
      <c r="A7" s="70">
        <v>200</v>
      </c>
      <c r="B7" s="24" t="s">
        <v>122</v>
      </c>
      <c r="C7" s="43">
        <f>C8</f>
        <v>295300</v>
      </c>
      <c r="D7" s="43">
        <f>D8</f>
        <v>125269.37</v>
      </c>
      <c r="E7" s="55">
        <f t="shared" si="0"/>
        <v>-170030.63</v>
      </c>
      <c r="F7" s="56">
        <f t="shared" si="1"/>
        <v>42.421053166271591</v>
      </c>
    </row>
    <row r="8" spans="1:7" ht="16.5" thickBot="1">
      <c r="A8" s="68">
        <v>203</v>
      </c>
      <c r="B8" s="26" t="s">
        <v>123</v>
      </c>
      <c r="C8" s="44">
        <v>295300</v>
      </c>
      <c r="D8" s="44">
        <v>125269.37</v>
      </c>
      <c r="E8" s="55">
        <f t="shared" si="0"/>
        <v>-170030.63</v>
      </c>
      <c r="F8" s="56">
        <f t="shared" si="1"/>
        <v>42.421053166271591</v>
      </c>
    </row>
    <row r="9" spans="1:7" ht="21.75" thickBot="1">
      <c r="A9" s="70">
        <v>300</v>
      </c>
      <c r="B9" s="24" t="s">
        <v>124</v>
      </c>
      <c r="C9" s="43">
        <f>SUM(C10:C11)</f>
        <v>728000</v>
      </c>
      <c r="D9" s="43">
        <f>SUM(D10:D11)</f>
        <v>4929.91</v>
      </c>
      <c r="E9" s="55">
        <f t="shared" si="0"/>
        <v>-723070.09</v>
      </c>
      <c r="F9" s="56">
        <f t="shared" si="1"/>
        <v>0.67718543956043953</v>
      </c>
    </row>
    <row r="10" spans="1:7" ht="34.5" thickBot="1">
      <c r="A10" s="68">
        <v>309</v>
      </c>
      <c r="B10" s="37" t="s">
        <v>125</v>
      </c>
      <c r="C10" s="69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68">
        <v>314</v>
      </c>
      <c r="B11" s="38" t="s">
        <v>126</v>
      </c>
      <c r="C11" s="44">
        <v>65000</v>
      </c>
      <c r="D11" s="44">
        <v>4929.91</v>
      </c>
      <c r="E11" s="55">
        <f t="shared" si="0"/>
        <v>-60070.09</v>
      </c>
      <c r="F11" s="56">
        <f t="shared" si="1"/>
        <v>7.5844769230769229</v>
      </c>
    </row>
    <row r="12" spans="1:7" ht="16.5" thickBot="1">
      <c r="A12" s="70">
        <v>400</v>
      </c>
      <c r="B12" s="39" t="s">
        <v>64</v>
      </c>
      <c r="C12" s="43">
        <f>SUM(C13:C14)</f>
        <v>969900</v>
      </c>
      <c r="D12" s="43">
        <f>SUM(D13:D14)</f>
        <v>0</v>
      </c>
      <c r="E12" s="55">
        <f t="shared" si="0"/>
        <v>-969900</v>
      </c>
      <c r="F12" s="56">
        <f t="shared" si="1"/>
        <v>0</v>
      </c>
    </row>
    <row r="13" spans="1:7" ht="16.5" thickBot="1">
      <c r="A13" s="68">
        <v>409</v>
      </c>
      <c r="B13" s="26" t="s">
        <v>18</v>
      </c>
      <c r="C13" s="44">
        <v>639900</v>
      </c>
      <c r="D13" s="44">
        <v>0</v>
      </c>
      <c r="E13" s="55">
        <f t="shared" si="0"/>
        <v>-639900</v>
      </c>
      <c r="F13" s="56">
        <f t="shared" si="1"/>
        <v>0</v>
      </c>
    </row>
    <row r="14" spans="1:7" ht="23.25" thickBot="1">
      <c r="A14" s="68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70">
        <v>500</v>
      </c>
      <c r="B15" s="24" t="s">
        <v>128</v>
      </c>
      <c r="C15" s="43">
        <f>SUM(C16:C17)</f>
        <v>2448664.59</v>
      </c>
      <c r="D15" s="43">
        <f>SUM(D16:D17)</f>
        <v>1795698.49</v>
      </c>
      <c r="E15" s="55">
        <f t="shared" si="0"/>
        <v>-652966.09999999986</v>
      </c>
      <c r="F15" s="56">
        <f t="shared" si="1"/>
        <v>73.333787621766533</v>
      </c>
      <c r="G15">
        <f>D15/D35*100</f>
        <v>15.992223684967721</v>
      </c>
    </row>
    <row r="16" spans="1:7" ht="16.5" thickBot="1">
      <c r="A16" s="68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7" ht="16.5" thickBot="1">
      <c r="A17" s="68">
        <v>503</v>
      </c>
      <c r="B17" s="26" t="s">
        <v>22</v>
      </c>
      <c r="C17" s="44">
        <v>2348664.59</v>
      </c>
      <c r="D17" s="44">
        <v>1795698.49</v>
      </c>
      <c r="E17" s="55">
        <f t="shared" si="0"/>
        <v>-552966.09999999986</v>
      </c>
      <c r="F17" s="56">
        <f t="shared" si="1"/>
        <v>76.456148640619645</v>
      </c>
    </row>
    <row r="18" spans="1:7" ht="16.5" thickBot="1">
      <c r="A18" s="70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7" ht="16.5" thickBot="1">
      <c r="A19" s="68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7" ht="16.5" thickBot="1">
      <c r="A20" s="70">
        <v>800</v>
      </c>
      <c r="B20" s="24" t="s">
        <v>130</v>
      </c>
      <c r="C20" s="43">
        <f>SUM(C21:C22)</f>
        <v>7235057</v>
      </c>
      <c r="D20" s="43">
        <f>SUM(D21:D22)</f>
        <v>3227105.32</v>
      </c>
      <c r="E20" s="55">
        <f t="shared" si="0"/>
        <v>-4007951.68</v>
      </c>
      <c r="F20" s="56">
        <f t="shared" si="1"/>
        <v>44.603730419815626</v>
      </c>
      <c r="G20">
        <f>D20/D35*100</f>
        <v>28.740120025600362</v>
      </c>
    </row>
    <row r="21" spans="1:7" ht="16.5" thickBot="1">
      <c r="A21" s="68">
        <v>801</v>
      </c>
      <c r="B21" s="26" t="s">
        <v>131</v>
      </c>
      <c r="C21" s="44">
        <v>6935057</v>
      </c>
      <c r="D21" s="44">
        <v>3123056.02</v>
      </c>
      <c r="E21" s="55">
        <f t="shared" si="0"/>
        <v>-3812000.98</v>
      </c>
      <c r="F21" s="56">
        <f t="shared" si="1"/>
        <v>45.032881777323531</v>
      </c>
    </row>
    <row r="22" spans="1:7" ht="16.5" thickBot="1">
      <c r="A22" s="68">
        <v>804</v>
      </c>
      <c r="B22" s="26" t="s">
        <v>132</v>
      </c>
      <c r="C22" s="44">
        <v>300000</v>
      </c>
      <c r="D22" s="44">
        <v>104049.3</v>
      </c>
      <c r="E22" s="55">
        <f t="shared" si="0"/>
        <v>-195950.7</v>
      </c>
      <c r="F22" s="56">
        <f t="shared" si="1"/>
        <v>34.683100000000003</v>
      </c>
    </row>
    <row r="23" spans="1:7" ht="16.5" thickBot="1">
      <c r="A23" s="70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7" ht="16.5" thickBot="1">
      <c r="A24" s="68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70">
        <v>1100</v>
      </c>
      <c r="B25" s="24" t="s">
        <v>135</v>
      </c>
      <c r="C25" s="43">
        <f>C26+C27</f>
        <v>1695800</v>
      </c>
      <c r="D25" s="43">
        <f>D26+D27</f>
        <v>641346.56000000006</v>
      </c>
      <c r="E25" s="55">
        <f t="shared" si="0"/>
        <v>-1054453.44</v>
      </c>
      <c r="F25" s="56">
        <f t="shared" si="1"/>
        <v>37.819705153909659</v>
      </c>
    </row>
    <row r="26" spans="1:7" ht="16.5" thickBot="1">
      <c r="A26" s="68">
        <v>1101</v>
      </c>
      <c r="B26" s="26" t="s">
        <v>136</v>
      </c>
      <c r="C26" s="44">
        <v>1620800</v>
      </c>
      <c r="D26" s="44">
        <v>596631.43000000005</v>
      </c>
      <c r="E26" s="55">
        <f t="shared" si="0"/>
        <v>-1024168.57</v>
      </c>
      <c r="F26" s="56">
        <f t="shared" si="1"/>
        <v>36.810922384007903</v>
      </c>
    </row>
    <row r="27" spans="1:7" ht="16.5" thickBot="1">
      <c r="A27" s="71">
        <v>1102</v>
      </c>
      <c r="B27" s="26" t="s">
        <v>151</v>
      </c>
      <c r="C27" s="49">
        <v>75000</v>
      </c>
      <c r="D27" s="49">
        <v>44715.13</v>
      </c>
      <c r="E27" s="55">
        <f t="shared" si="0"/>
        <v>-30284.870000000003</v>
      </c>
      <c r="F27" s="56">
        <f t="shared" si="1"/>
        <v>59.620173333333327</v>
      </c>
    </row>
    <row r="28" spans="1:7" ht="16.5" thickBot="1">
      <c r="A28" s="68">
        <v>1200</v>
      </c>
      <c r="B28" s="24" t="s">
        <v>137</v>
      </c>
      <c r="C28" s="47">
        <f>C29+C30</f>
        <v>90000</v>
      </c>
      <c r="D28" s="47">
        <f>D29+D30</f>
        <v>61542</v>
      </c>
      <c r="E28" s="55">
        <f t="shared" si="0"/>
        <v>-28458</v>
      </c>
      <c r="F28" s="56">
        <f t="shared" si="1"/>
        <v>68.38</v>
      </c>
    </row>
    <row r="29" spans="1:7" ht="16.5" thickBot="1">
      <c r="A29" s="68">
        <v>1202</v>
      </c>
      <c r="B29" s="87" t="s">
        <v>138</v>
      </c>
      <c r="C29" s="49">
        <v>9000</v>
      </c>
      <c r="D29" s="50">
        <v>9000</v>
      </c>
      <c r="E29" s="55">
        <f t="shared" si="0"/>
        <v>0</v>
      </c>
      <c r="F29" s="56">
        <f t="shared" si="1"/>
        <v>100</v>
      </c>
    </row>
    <row r="30" spans="1:7" ht="23.25" thickBot="1">
      <c r="A30" s="90">
        <v>1204</v>
      </c>
      <c r="B30" s="91" t="s">
        <v>150</v>
      </c>
      <c r="C30" s="88">
        <v>81000</v>
      </c>
      <c r="D30" s="89">
        <v>52542</v>
      </c>
      <c r="E30" s="55">
        <f t="shared" si="0"/>
        <v>-28458</v>
      </c>
      <c r="F30" s="56">
        <f t="shared" si="1"/>
        <v>64.86666666666666</v>
      </c>
    </row>
    <row r="31" spans="1:7" ht="16.5" thickBot="1">
      <c r="A31" s="179" t="s">
        <v>139</v>
      </c>
      <c r="B31" s="92" t="s">
        <v>140</v>
      </c>
      <c r="C31" s="180">
        <f>C33</f>
        <v>222037.11</v>
      </c>
      <c r="D31" s="171">
        <f>D33</f>
        <v>105842.39</v>
      </c>
      <c r="E31" s="55">
        <f t="shared" si="0"/>
        <v>-116194.71999999999</v>
      </c>
      <c r="F31" s="56">
        <f t="shared" si="1"/>
        <v>47.66878383527871</v>
      </c>
    </row>
    <row r="32" spans="1:7" ht="16.5" thickBot="1">
      <c r="A32" s="170"/>
      <c r="B32" s="24" t="s">
        <v>141</v>
      </c>
      <c r="C32" s="172"/>
      <c r="D32" s="172"/>
      <c r="E32" s="55">
        <f t="shared" si="0"/>
        <v>0</v>
      </c>
      <c r="F32" s="56"/>
    </row>
    <row r="33" spans="1:6" ht="16.5" thickBot="1">
      <c r="A33" s="165" t="s">
        <v>142</v>
      </c>
      <c r="B33" s="41" t="s">
        <v>143</v>
      </c>
      <c r="C33" s="167">
        <v>222037.11</v>
      </c>
      <c r="D33" s="167">
        <v>105842.39</v>
      </c>
      <c r="E33" s="55">
        <f t="shared" si="0"/>
        <v>-116194.71999999999</v>
      </c>
      <c r="F33" s="56">
        <f t="shared" si="1"/>
        <v>47.66878383527871</v>
      </c>
    </row>
    <row r="34" spans="1:6" ht="16.5" thickBot="1">
      <c r="A34" s="166"/>
      <c r="B34" s="26" t="s">
        <v>144</v>
      </c>
      <c r="C34" s="168"/>
      <c r="D34" s="168"/>
      <c r="E34" s="55">
        <f t="shared" si="0"/>
        <v>0</v>
      </c>
      <c r="F34" s="56"/>
    </row>
    <row r="35" spans="1:6" ht="16.5" thickBot="1">
      <c r="A35" s="70">
        <v>9800</v>
      </c>
      <c r="B35" s="24" t="s">
        <v>145</v>
      </c>
      <c r="C35" s="43">
        <f>C31+C28+C25+C23+C20+C18+C15+C12+C9+C7+C2</f>
        <v>26967901.699999999</v>
      </c>
      <c r="D35" s="43">
        <f>D31+D28+D25+D23+D20+D18+D15+D12+D9+D7+D2</f>
        <v>11228572.870000001</v>
      </c>
      <c r="E35" s="55">
        <f t="shared" si="0"/>
        <v>-15739328.829999998</v>
      </c>
      <c r="F35" s="56">
        <f t="shared" si="1"/>
        <v>41.636805840181488</v>
      </c>
    </row>
  </sheetData>
  <mergeCells count="6">
    <mergeCell ref="A31:A32"/>
    <mergeCell ref="C31:C32"/>
    <mergeCell ref="D31:D32"/>
    <mergeCell ref="A33:A34"/>
    <mergeCell ref="C33:C34"/>
    <mergeCell ref="D33:D34"/>
  </mergeCells>
  <pageMargins left="0.7" right="0.7" top="0.75" bottom="0.75" header="0.3" footer="0.3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E23" sqref="E23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157" t="s">
        <v>65</v>
      </c>
      <c r="B1" s="159" t="s">
        <v>66</v>
      </c>
      <c r="C1" s="175" t="s">
        <v>67</v>
      </c>
      <c r="D1" s="161" t="s">
        <v>68</v>
      </c>
      <c r="E1" s="57" t="s">
        <v>69</v>
      </c>
      <c r="F1" s="64" t="s">
        <v>115</v>
      </c>
    </row>
    <row r="2" spans="1:6" ht="15.75" thickBot="1">
      <c r="A2" s="158"/>
      <c r="B2" s="160"/>
      <c r="C2" s="176"/>
      <c r="D2" s="162"/>
      <c r="E2" s="58" t="s">
        <v>70</v>
      </c>
      <c r="F2" s="64"/>
    </row>
    <row r="3" spans="1:6" ht="38.25" customHeight="1" thickBot="1">
      <c r="A3" s="82" t="s">
        <v>71</v>
      </c>
      <c r="B3" s="21" t="s">
        <v>72</v>
      </c>
      <c r="C3" s="77">
        <v>6000000</v>
      </c>
      <c r="D3" s="28">
        <f>1660971.92+7768.54+420.68+2340</f>
        <v>1671501.14</v>
      </c>
      <c r="E3" s="59">
        <f>C3-D3</f>
        <v>4328498.8600000003</v>
      </c>
      <c r="F3" s="65">
        <f>D3/C3*100</f>
        <v>27.858352333333329</v>
      </c>
    </row>
    <row r="4" spans="1:6" ht="25.5" customHeight="1" thickBot="1">
      <c r="A4" s="82" t="s">
        <v>73</v>
      </c>
      <c r="B4" s="21" t="s">
        <v>74</v>
      </c>
      <c r="C4" s="77">
        <v>810000</v>
      </c>
      <c r="D4" s="28">
        <v>549345.5</v>
      </c>
      <c r="E4" s="59">
        <f>C4-D4</f>
        <v>260654.5</v>
      </c>
      <c r="F4" s="65">
        <f>D4/C4*100</f>
        <v>67.820432098765437</v>
      </c>
    </row>
    <row r="5" spans="1:6" ht="19.5" customHeight="1" thickBot="1">
      <c r="A5" s="82" t="s">
        <v>75</v>
      </c>
      <c r="B5" s="21" t="s">
        <v>76</v>
      </c>
      <c r="C5" s="77">
        <v>974000</v>
      </c>
      <c r="D5" s="28">
        <v>8640.5</v>
      </c>
      <c r="E5" s="59">
        <f>C5-D5</f>
        <v>965359.5</v>
      </c>
      <c r="F5" s="65">
        <f>D5/C5*100</f>
        <v>0.88711498973305958</v>
      </c>
    </row>
    <row r="6" spans="1:6" ht="13.5" customHeight="1">
      <c r="A6" s="153" t="s">
        <v>77</v>
      </c>
      <c r="B6" s="22" t="s">
        <v>78</v>
      </c>
      <c r="C6" s="177">
        <f>SUM(C8:C9)</f>
        <v>8682000</v>
      </c>
      <c r="D6" s="155">
        <f>SUM(D8:D10)</f>
        <v>2319408.6</v>
      </c>
      <c r="E6" s="155">
        <f>SUM(E8:E9)</f>
        <v>6362613.7199999997</v>
      </c>
      <c r="F6" s="181">
        <f t="shared" ref="F6:F27" si="0">D6/C6*100</f>
        <v>26.715141672425709</v>
      </c>
    </row>
    <row r="7" spans="1:6" ht="13.5" customHeight="1" thickBot="1">
      <c r="A7" s="154"/>
      <c r="B7" s="21" t="s">
        <v>79</v>
      </c>
      <c r="C7" s="178"/>
      <c r="D7" s="156"/>
      <c r="E7" s="156"/>
      <c r="F7" s="182"/>
    </row>
    <row r="8" spans="1:6" ht="37.5" customHeight="1" thickBot="1">
      <c r="A8" s="82" t="s">
        <v>80</v>
      </c>
      <c r="B8" s="23" t="s">
        <v>81</v>
      </c>
      <c r="C8" s="78">
        <v>4800000</v>
      </c>
      <c r="D8" s="29">
        <v>411669.17</v>
      </c>
      <c r="E8" s="59">
        <f>C8-D8</f>
        <v>4388330.83</v>
      </c>
      <c r="F8" s="65">
        <f t="shared" si="0"/>
        <v>8.5764410416666657</v>
      </c>
    </row>
    <row r="9" spans="1:6" ht="34.5" thickBot="1">
      <c r="A9" s="82" t="s">
        <v>82</v>
      </c>
      <c r="B9" s="23" t="s">
        <v>83</v>
      </c>
      <c r="C9" s="78">
        <v>3882000</v>
      </c>
      <c r="D9" s="29">
        <v>1907717.11</v>
      </c>
      <c r="E9" s="59">
        <f>C9-D9</f>
        <v>1974282.89</v>
      </c>
      <c r="F9" s="65">
        <f t="shared" si="0"/>
        <v>49.14263549716641</v>
      </c>
    </row>
    <row r="10" spans="1:6" ht="23.25" thickBot="1">
      <c r="A10" s="82" t="s">
        <v>149</v>
      </c>
      <c r="B10" s="23" t="s">
        <v>85</v>
      </c>
      <c r="C10" s="78">
        <v>0</v>
      </c>
      <c r="D10" s="29">
        <v>22.32</v>
      </c>
      <c r="E10" s="59">
        <f>C10-D10</f>
        <v>-22.32</v>
      </c>
      <c r="F10" s="65" t="e">
        <f t="shared" si="0"/>
        <v>#DIV/0!</v>
      </c>
    </row>
    <row r="11" spans="1:6" ht="21">
      <c r="A11" s="153" t="s">
        <v>86</v>
      </c>
      <c r="B11" s="22" t="s">
        <v>87</v>
      </c>
      <c r="C11" s="177">
        <f>SUM(C13:C15)</f>
        <v>2623000</v>
      </c>
      <c r="D11" s="155">
        <f>SUM(D13:D15)</f>
        <v>200062.5</v>
      </c>
      <c r="E11" s="155">
        <f>SUM(E13:E15)</f>
        <v>2422937.5</v>
      </c>
      <c r="F11" s="173">
        <f t="shared" si="0"/>
        <v>7.6272398017537171</v>
      </c>
    </row>
    <row r="12" spans="1:6" ht="15.75" customHeight="1" thickBot="1">
      <c r="A12" s="154"/>
      <c r="B12" s="21" t="s">
        <v>79</v>
      </c>
      <c r="C12" s="178"/>
      <c r="D12" s="156"/>
      <c r="E12" s="156"/>
      <c r="F12" s="174"/>
    </row>
    <row r="13" spans="1:6" ht="38.25" customHeight="1" thickBot="1">
      <c r="A13" s="82" t="s">
        <v>88</v>
      </c>
      <c r="B13" s="23" t="s">
        <v>112</v>
      </c>
      <c r="C13" s="78">
        <v>1450000</v>
      </c>
      <c r="D13" s="74">
        <v>1479.56</v>
      </c>
      <c r="E13" s="59">
        <f t="shared" ref="E13:E22" si="1">C13-D13</f>
        <v>1448520.44</v>
      </c>
      <c r="F13" s="65">
        <f t="shared" si="0"/>
        <v>0.10203862068965516</v>
      </c>
    </row>
    <row r="14" spans="1:6" ht="48" customHeight="1" thickBot="1">
      <c r="A14" s="82" t="s">
        <v>89</v>
      </c>
      <c r="B14" s="23" t="s">
        <v>113</v>
      </c>
      <c r="C14" s="78">
        <v>970000</v>
      </c>
      <c r="D14" s="75">
        <v>151829.29</v>
      </c>
      <c r="E14" s="59">
        <f t="shared" si="1"/>
        <v>818170.71</v>
      </c>
      <c r="F14" s="65">
        <f t="shared" si="0"/>
        <v>15.652504123711342</v>
      </c>
    </row>
    <row r="15" spans="1:6" ht="43.5" customHeight="1" thickBot="1">
      <c r="A15" s="82" t="s">
        <v>90</v>
      </c>
      <c r="B15" s="23" t="s">
        <v>114</v>
      </c>
      <c r="C15" s="78">
        <v>203000</v>
      </c>
      <c r="D15" s="76">
        <v>46753.65</v>
      </c>
      <c r="E15" s="59">
        <f t="shared" si="1"/>
        <v>156246.35</v>
      </c>
      <c r="F15" s="65">
        <f t="shared" si="0"/>
        <v>23.031354679802956</v>
      </c>
    </row>
    <row r="16" spans="1:6" ht="36" customHeight="1" thickBot="1">
      <c r="A16" s="82" t="s">
        <v>91</v>
      </c>
      <c r="B16" s="21" t="s">
        <v>92</v>
      </c>
      <c r="C16" s="77">
        <v>75000</v>
      </c>
      <c r="D16" s="28">
        <v>1200</v>
      </c>
      <c r="E16" s="59">
        <f t="shared" si="1"/>
        <v>73800</v>
      </c>
      <c r="F16" s="65">
        <f t="shared" si="0"/>
        <v>1.6</v>
      </c>
    </row>
    <row r="17" spans="1:6" ht="33.75" customHeight="1" thickBot="1">
      <c r="A17" s="82" t="s">
        <v>93</v>
      </c>
      <c r="B17" s="24" t="s">
        <v>94</v>
      </c>
      <c r="C17" s="79">
        <v>5800000</v>
      </c>
      <c r="D17" s="30">
        <v>444882.33</v>
      </c>
      <c r="E17" s="59">
        <f t="shared" si="1"/>
        <v>5355117.67</v>
      </c>
      <c r="F17" s="65">
        <f t="shared" si="0"/>
        <v>7.6703850000000005</v>
      </c>
    </row>
    <row r="18" spans="1:6" ht="55.5" customHeight="1" thickBot="1">
      <c r="A18" s="82" t="s">
        <v>95</v>
      </c>
      <c r="B18" s="25" t="s">
        <v>96</v>
      </c>
      <c r="C18" s="77">
        <v>0</v>
      </c>
      <c r="D18" s="28">
        <v>0</v>
      </c>
      <c r="E18" s="59">
        <f t="shared" si="1"/>
        <v>0</v>
      </c>
      <c r="F18" s="65" t="e">
        <f t="shared" si="0"/>
        <v>#DIV/0!</v>
      </c>
    </row>
    <row r="19" spans="1:6" ht="24.75" customHeight="1" thickBot="1">
      <c r="A19" s="82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82" t="s">
        <v>147</v>
      </c>
      <c r="B20" s="25" t="s">
        <v>148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33.75" customHeight="1" thickBot="1">
      <c r="A21" s="82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82" t="s">
        <v>102</v>
      </c>
      <c r="B22" s="25" t="s">
        <v>103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15.75" customHeight="1" thickBot="1">
      <c r="A23" s="151" t="s">
        <v>106</v>
      </c>
      <c r="B23" s="152"/>
      <c r="C23" s="79">
        <f>C17+C16+C11+C6+C5+C4+C3</f>
        <v>24964000</v>
      </c>
      <c r="D23" s="30">
        <f>D17+D16+D11+D6+D5+D4+D3+D18+D19+D20+D21+D22</f>
        <v>5195040.57</v>
      </c>
      <c r="E23" s="30">
        <f t="shared" ref="E23" si="2">SUM(E3:E22)</f>
        <v>28554510.650000006</v>
      </c>
      <c r="F23" s="65">
        <f t="shared" si="0"/>
        <v>20.810128865566416</v>
      </c>
    </row>
    <row r="24" spans="1:6" s="18" customFormat="1" ht="47.25" customHeight="1" thickBot="1">
      <c r="A24" s="82" t="s">
        <v>104</v>
      </c>
      <c r="B24" s="72" t="s">
        <v>105</v>
      </c>
      <c r="C24" s="78">
        <v>-624476</v>
      </c>
      <c r="D24" s="29">
        <v>-624476</v>
      </c>
      <c r="E24" s="60">
        <f>C24-D24</f>
        <v>0</v>
      </c>
      <c r="F24" s="73">
        <f>D24/C24*100</f>
        <v>100</v>
      </c>
    </row>
    <row r="25" spans="1:6" ht="16.5" thickBot="1">
      <c r="A25" s="83" t="s">
        <v>107</v>
      </c>
      <c r="B25" s="26" t="s">
        <v>108</v>
      </c>
      <c r="C25" s="80">
        <f>246100+376300+8000</f>
        <v>630400</v>
      </c>
      <c r="D25" s="80">
        <f>246100+376300+8000</f>
        <v>630400</v>
      </c>
      <c r="E25" s="59">
        <f>C25-D25</f>
        <v>0</v>
      </c>
      <c r="F25" s="65">
        <f t="shared" si="0"/>
        <v>100</v>
      </c>
    </row>
    <row r="26" spans="1:6" ht="16.5" thickBot="1">
      <c r="A26" s="151" t="s">
        <v>109</v>
      </c>
      <c r="B26" s="152"/>
      <c r="C26" s="79">
        <f>C23+C24+C25</f>
        <v>24969924</v>
      </c>
      <c r="D26" s="30">
        <f>D23+D24+D25</f>
        <v>5200964.57</v>
      </c>
      <c r="E26" s="30">
        <f>E23+E24+E25</f>
        <v>28554510.650000006</v>
      </c>
      <c r="F26" s="65">
        <f t="shared" si="0"/>
        <v>20.828916299464908</v>
      </c>
    </row>
    <row r="27" spans="1:6" ht="28.5" customHeight="1" thickBot="1">
      <c r="A27" s="151" t="s">
        <v>110</v>
      </c>
      <c r="B27" s="152"/>
      <c r="C27" s="79">
        <f>C26</f>
        <v>24969924</v>
      </c>
      <c r="D27" s="30">
        <f t="shared" ref="D27:E27" si="3">D26</f>
        <v>5200964.57</v>
      </c>
      <c r="E27" s="30">
        <f t="shared" si="3"/>
        <v>28554510.650000006</v>
      </c>
      <c r="F27" s="65">
        <f t="shared" si="0"/>
        <v>20.828916299464908</v>
      </c>
    </row>
  </sheetData>
  <mergeCells count="17">
    <mergeCell ref="A1:A2"/>
    <mergeCell ref="B1:B2"/>
    <mergeCell ref="C1:C2"/>
    <mergeCell ref="D1:D2"/>
    <mergeCell ref="A6:A7"/>
    <mergeCell ref="C6:C7"/>
    <mergeCell ref="D6:D7"/>
    <mergeCell ref="A23:B23"/>
    <mergeCell ref="A26:B26"/>
    <mergeCell ref="A27:B27"/>
    <mergeCell ref="F6:F7"/>
    <mergeCell ref="E6:E7"/>
    <mergeCell ref="A11:A12"/>
    <mergeCell ref="C11:C12"/>
    <mergeCell ref="D11:D12"/>
    <mergeCell ref="E11:E12"/>
    <mergeCell ref="F11:F12"/>
  </mergeCells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7" ht="16.5" thickBot="1">
      <c r="A2" s="86">
        <v>100</v>
      </c>
      <c r="B2" s="24" t="s">
        <v>119</v>
      </c>
      <c r="C2" s="43">
        <f>SUM(C3:C7)</f>
        <v>14415172.4</v>
      </c>
      <c r="D2" s="43">
        <f>SUM(D3:D7)</f>
        <v>2448822.84</v>
      </c>
      <c r="E2" s="55">
        <f>D2-C2</f>
        <v>-11966349.560000001</v>
      </c>
      <c r="F2" s="56">
        <f>D2/C2*100</f>
        <v>16.987815143993696</v>
      </c>
    </row>
    <row r="3" spans="1:7" ht="23.25" thickBot="1">
      <c r="A3" s="84">
        <v>102</v>
      </c>
      <c r="B3" s="26" t="s">
        <v>120</v>
      </c>
      <c r="C3" s="44">
        <f>676700+204350</f>
        <v>881050</v>
      </c>
      <c r="D3" s="44">
        <f>148248+32436</f>
        <v>180684</v>
      </c>
      <c r="E3" s="55">
        <f t="shared" ref="E3:E36" si="0">D3-C3</f>
        <v>-700366</v>
      </c>
      <c r="F3" s="56">
        <f>D3/C3*100</f>
        <v>20.507803189376311</v>
      </c>
    </row>
    <row r="4" spans="1:7" ht="45.75" thickBot="1">
      <c r="A4" s="84">
        <v>104</v>
      </c>
      <c r="B4" s="26" t="s">
        <v>4</v>
      </c>
      <c r="C4" s="44">
        <f>3242200+979150+62000+259400+1900+345350+4150+45300+2000+6000</f>
        <v>4947450</v>
      </c>
      <c r="D4" s="44">
        <f>472500.96+168099.19+9585.32+37505.86+43887.06+4150+600</f>
        <v>736328.3899999999</v>
      </c>
      <c r="E4" s="55">
        <f t="shared" si="0"/>
        <v>-4211121.6100000003</v>
      </c>
      <c r="F4" s="56">
        <f>D4/C4*100</f>
        <v>14.882988003921211</v>
      </c>
    </row>
    <row r="5" spans="1:7" ht="38.25" customHeight="1" thickBot="1">
      <c r="A5" s="84">
        <v>106</v>
      </c>
      <c r="B5" s="93" t="s">
        <v>152</v>
      </c>
      <c r="C5" s="44">
        <v>263500</v>
      </c>
      <c r="D5" s="44">
        <v>0</v>
      </c>
      <c r="E5" s="55">
        <f t="shared" si="0"/>
        <v>-263500</v>
      </c>
      <c r="F5" s="56">
        <f>D5/C5*100</f>
        <v>0</v>
      </c>
    </row>
    <row r="6" spans="1:7" ht="16.5" thickBot="1">
      <c r="A6" s="84">
        <v>111</v>
      </c>
      <c r="B6" s="26" t="s">
        <v>6</v>
      </c>
      <c r="C6" s="44">
        <v>50000</v>
      </c>
      <c r="D6" s="44">
        <v>0</v>
      </c>
      <c r="E6" s="55">
        <f t="shared" si="0"/>
        <v>-50000</v>
      </c>
      <c r="F6" s="56">
        <f t="shared" ref="F6:F36" si="1">D6/C6*100</f>
        <v>0</v>
      </c>
    </row>
    <row r="7" spans="1:7" ht="16.5" thickBot="1">
      <c r="A7" s="84">
        <v>113</v>
      </c>
      <c r="B7" s="26" t="s">
        <v>121</v>
      </c>
      <c r="C7" s="44">
        <f>1732835.98+528000+5642336.42+180000+190000</f>
        <v>8273172.4000000004</v>
      </c>
      <c r="D7" s="45">
        <f>184113.82+47573.2+19725.41+1887.09+7859+28000+469773.45+139675.82+956.75+172985+59157.8+99999+268194.11+8910+23000</f>
        <v>1531810.4500000002</v>
      </c>
      <c r="E7" s="55">
        <f t="shared" si="0"/>
        <v>-6741361.9500000002</v>
      </c>
      <c r="F7" s="56">
        <f t="shared" si="1"/>
        <v>18.515393804678844</v>
      </c>
    </row>
    <row r="8" spans="1:7" ht="16.5" thickBot="1">
      <c r="A8" s="86">
        <v>200</v>
      </c>
      <c r="B8" s="24" t="s">
        <v>122</v>
      </c>
      <c r="C8" s="43">
        <f>C9</f>
        <v>376300</v>
      </c>
      <c r="D8" s="43">
        <f>D9</f>
        <v>58047.86</v>
      </c>
      <c r="E8" s="55">
        <f t="shared" si="0"/>
        <v>-318252.14</v>
      </c>
      <c r="F8" s="56">
        <f t="shared" si="1"/>
        <v>15.425952697315973</v>
      </c>
    </row>
    <row r="9" spans="1:7" ht="16.5" thickBot="1">
      <c r="A9" s="84">
        <v>203</v>
      </c>
      <c r="B9" s="26" t="s">
        <v>123</v>
      </c>
      <c r="C9" s="44">
        <v>376300</v>
      </c>
      <c r="D9" s="44">
        <f>44724.56+13204+119.3</f>
        <v>58047.86</v>
      </c>
      <c r="E9" s="55">
        <f t="shared" si="0"/>
        <v>-318252.14</v>
      </c>
      <c r="F9" s="56">
        <f t="shared" si="1"/>
        <v>15.425952697315973</v>
      </c>
    </row>
    <row r="10" spans="1:7" ht="21.75" thickBot="1">
      <c r="A10" s="86">
        <v>300</v>
      </c>
      <c r="B10" s="24" t="s">
        <v>124</v>
      </c>
      <c r="C10" s="43">
        <f>SUM(C11:C12)</f>
        <v>695100</v>
      </c>
      <c r="D10" s="43">
        <f>SUM(D11:D12)</f>
        <v>6990</v>
      </c>
      <c r="E10" s="55">
        <f t="shared" si="0"/>
        <v>-688110</v>
      </c>
      <c r="F10" s="56">
        <f t="shared" si="1"/>
        <v>1.0056107034958999</v>
      </c>
    </row>
    <row r="11" spans="1:7" ht="34.5" thickBot="1">
      <c r="A11" s="84">
        <v>309</v>
      </c>
      <c r="B11" s="37" t="s">
        <v>125</v>
      </c>
      <c r="C11" s="85">
        <v>665100</v>
      </c>
      <c r="D11" s="44">
        <v>6990</v>
      </c>
      <c r="E11" s="55">
        <f t="shared" si="0"/>
        <v>-658110</v>
      </c>
      <c r="F11" s="56">
        <f t="shared" si="1"/>
        <v>1.0509697789806043</v>
      </c>
    </row>
    <row r="12" spans="1:7" ht="34.5" thickBot="1">
      <c r="A12" s="84">
        <v>314</v>
      </c>
      <c r="B12" s="38" t="s">
        <v>126</v>
      </c>
      <c r="C12" s="44">
        <v>30000</v>
      </c>
      <c r="D12" s="44">
        <v>0</v>
      </c>
      <c r="E12" s="55">
        <f t="shared" si="0"/>
        <v>-30000</v>
      </c>
      <c r="F12" s="56">
        <f t="shared" si="1"/>
        <v>0</v>
      </c>
    </row>
    <row r="13" spans="1:7" ht="16.5" thickBot="1">
      <c r="A13" s="86">
        <v>400</v>
      </c>
      <c r="B13" s="39" t="s">
        <v>64</v>
      </c>
      <c r="C13" s="43">
        <f>SUM(C14:C15)</f>
        <v>944000</v>
      </c>
      <c r="D13" s="43">
        <f>SUM(D14:D15)</f>
        <v>0</v>
      </c>
      <c r="E13" s="55">
        <f t="shared" si="0"/>
        <v>-944000</v>
      </c>
      <c r="F13" s="56">
        <f t="shared" si="1"/>
        <v>0</v>
      </c>
    </row>
    <row r="14" spans="1:7" ht="16.5" thickBot="1">
      <c r="A14" s="84">
        <v>409</v>
      </c>
      <c r="B14" s="26" t="s">
        <v>18</v>
      </c>
      <c r="C14" s="44">
        <v>694000</v>
      </c>
      <c r="D14" s="44">
        <v>0</v>
      </c>
      <c r="E14" s="55">
        <f t="shared" si="0"/>
        <v>-694000</v>
      </c>
      <c r="F14" s="56">
        <f t="shared" si="1"/>
        <v>0</v>
      </c>
    </row>
    <row r="15" spans="1:7" ht="23.25" thickBot="1">
      <c r="A15" s="84">
        <v>412</v>
      </c>
      <c r="B15" s="26" t="s">
        <v>127</v>
      </c>
      <c r="C15" s="44">
        <v>250000</v>
      </c>
      <c r="D15" s="44">
        <v>0</v>
      </c>
      <c r="E15" s="55">
        <f t="shared" si="0"/>
        <v>-250000</v>
      </c>
      <c r="F15" s="56">
        <f t="shared" si="1"/>
        <v>0</v>
      </c>
    </row>
    <row r="16" spans="1:7" ht="16.5" thickBot="1">
      <c r="A16" s="86">
        <v>500</v>
      </c>
      <c r="B16" s="24" t="s">
        <v>128</v>
      </c>
      <c r="C16" s="43">
        <f>SUM(C17:C18)</f>
        <v>4738000</v>
      </c>
      <c r="D16" s="43">
        <f>SUM(D17:D18)</f>
        <v>374722.32</v>
      </c>
      <c r="E16" s="55">
        <f t="shared" si="0"/>
        <v>-4363277.68</v>
      </c>
      <c r="F16" s="56">
        <f t="shared" si="1"/>
        <v>7.9088712536935422</v>
      </c>
      <c r="G16">
        <f>D16/D36*100</f>
        <v>9.8506304359189283</v>
      </c>
    </row>
    <row r="17" spans="1:7" ht="16.5" thickBot="1">
      <c r="A17" s="84">
        <v>502</v>
      </c>
      <c r="B17" s="26" t="s">
        <v>19</v>
      </c>
      <c r="C17" s="44">
        <v>2800000</v>
      </c>
      <c r="D17" s="44">
        <v>79740</v>
      </c>
      <c r="E17" s="55">
        <f t="shared" si="0"/>
        <v>-2720260</v>
      </c>
      <c r="F17" s="56">
        <f t="shared" si="1"/>
        <v>2.8478571428571429</v>
      </c>
    </row>
    <row r="18" spans="1:7" ht="16.5" thickBot="1">
      <c r="A18" s="84">
        <v>503</v>
      </c>
      <c r="B18" s="26" t="s">
        <v>22</v>
      </c>
      <c r="C18" s="44">
        <v>1938000</v>
      </c>
      <c r="D18" s="44">
        <v>294982.32</v>
      </c>
      <c r="E18" s="55">
        <f t="shared" si="0"/>
        <v>-1643017.68</v>
      </c>
      <c r="F18" s="56">
        <f t="shared" si="1"/>
        <v>15.220965944272447</v>
      </c>
    </row>
    <row r="19" spans="1:7" ht="16.5" thickBot="1">
      <c r="A19" s="86">
        <v>700</v>
      </c>
      <c r="B19" s="24" t="s">
        <v>129</v>
      </c>
      <c r="C19" s="43">
        <f>C20</f>
        <v>130000</v>
      </c>
      <c r="D19" s="43">
        <v>0</v>
      </c>
      <c r="E19" s="55">
        <f t="shared" si="0"/>
        <v>-130000</v>
      </c>
      <c r="F19" s="56">
        <f t="shared" si="1"/>
        <v>0</v>
      </c>
    </row>
    <row r="20" spans="1:7" ht="16.5" thickBot="1">
      <c r="A20" s="84">
        <v>707</v>
      </c>
      <c r="B20" s="26" t="s">
        <v>23</v>
      </c>
      <c r="C20" s="44">
        <v>130000</v>
      </c>
      <c r="D20" s="44">
        <v>0</v>
      </c>
      <c r="E20" s="55">
        <f t="shared" si="0"/>
        <v>-130000</v>
      </c>
      <c r="F20" s="56">
        <f t="shared" si="1"/>
        <v>0</v>
      </c>
    </row>
    <row r="21" spans="1:7" ht="16.5" thickBot="1">
      <c r="A21" s="86">
        <v>800</v>
      </c>
      <c r="B21" s="24" t="s">
        <v>130</v>
      </c>
      <c r="C21" s="43">
        <f>SUM(C22:C23)</f>
        <v>5754200</v>
      </c>
      <c r="D21" s="43">
        <f>SUM(D22:D23)</f>
        <v>739447</v>
      </c>
      <c r="E21" s="55">
        <f t="shared" si="0"/>
        <v>-5014753</v>
      </c>
      <c r="F21" s="56">
        <f t="shared" si="1"/>
        <v>12.850561329116125</v>
      </c>
      <c r="G21">
        <f>D21/D36*100</f>
        <v>19.438444776785495</v>
      </c>
    </row>
    <row r="22" spans="1:7" ht="16.5" thickBot="1">
      <c r="A22" s="84">
        <v>801</v>
      </c>
      <c r="B22" s="26" t="s">
        <v>131</v>
      </c>
      <c r="C22" s="44">
        <f>3761700+1456400+246100+10000+130000</f>
        <v>5604200</v>
      </c>
      <c r="D22" s="44">
        <f>460668+251200+23436</f>
        <v>735304</v>
      </c>
      <c r="E22" s="55">
        <f t="shared" si="0"/>
        <v>-4868896</v>
      </c>
      <c r="F22" s="56">
        <f t="shared" si="1"/>
        <v>13.120588130330823</v>
      </c>
    </row>
    <row r="23" spans="1:7" ht="16.5" thickBot="1">
      <c r="A23" s="84">
        <v>804</v>
      </c>
      <c r="B23" s="26" t="s">
        <v>132</v>
      </c>
      <c r="C23" s="44">
        <v>150000</v>
      </c>
      <c r="D23" s="44">
        <v>4143</v>
      </c>
      <c r="E23" s="55">
        <f t="shared" si="0"/>
        <v>-145857</v>
      </c>
      <c r="F23" s="56">
        <f t="shared" si="1"/>
        <v>2.762</v>
      </c>
    </row>
    <row r="24" spans="1:7" ht="16.5" thickBot="1">
      <c r="A24" s="86">
        <v>1000</v>
      </c>
      <c r="B24" s="24" t="s">
        <v>133</v>
      </c>
      <c r="C24" s="43">
        <f>C25</f>
        <v>60000</v>
      </c>
      <c r="D24" s="43">
        <f>D25</f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84">
        <v>1003</v>
      </c>
      <c r="B25" s="26" t="s">
        <v>134</v>
      </c>
      <c r="C25" s="44">
        <v>60000</v>
      </c>
      <c r="D25" s="44">
        <v>0</v>
      </c>
      <c r="E25" s="55">
        <f t="shared" si="0"/>
        <v>-60000</v>
      </c>
      <c r="F25" s="56">
        <f t="shared" si="1"/>
        <v>0</v>
      </c>
    </row>
    <row r="26" spans="1:7" ht="16.5" thickBot="1">
      <c r="A26" s="86">
        <v>1100</v>
      </c>
      <c r="B26" s="24" t="s">
        <v>135</v>
      </c>
      <c r="C26" s="43">
        <f>C27+C28</f>
        <v>553700</v>
      </c>
      <c r="D26" s="43">
        <f>D27+D28</f>
        <v>144050</v>
      </c>
      <c r="E26" s="55">
        <f t="shared" si="0"/>
        <v>-409650</v>
      </c>
      <c r="F26" s="56">
        <f t="shared" si="1"/>
        <v>26.015893082896874</v>
      </c>
    </row>
    <row r="27" spans="1:7" ht="16.5" thickBot="1">
      <c r="A27" s="84">
        <v>1101</v>
      </c>
      <c r="B27" s="26" t="s">
        <v>136</v>
      </c>
      <c r="C27" s="44">
        <v>553700</v>
      </c>
      <c r="D27" s="44">
        <v>144050</v>
      </c>
      <c r="E27" s="55">
        <f t="shared" si="0"/>
        <v>-409650</v>
      </c>
      <c r="F27" s="56">
        <f t="shared" si="1"/>
        <v>26.015893082896874</v>
      </c>
    </row>
    <row r="28" spans="1:7" ht="16.5" thickBot="1">
      <c r="A28" s="84">
        <v>1102</v>
      </c>
      <c r="B28" s="26" t="s">
        <v>151</v>
      </c>
      <c r="C28" s="49">
        <v>0</v>
      </c>
      <c r="D28" s="49">
        <v>0</v>
      </c>
      <c r="E28" s="55">
        <f t="shared" si="0"/>
        <v>0</v>
      </c>
      <c r="F28" s="56" t="e">
        <f t="shared" si="1"/>
        <v>#DIV/0!</v>
      </c>
    </row>
    <row r="29" spans="1:7" ht="16.5" thickBot="1">
      <c r="A29" s="84">
        <v>1200</v>
      </c>
      <c r="B29" s="24" t="s">
        <v>137</v>
      </c>
      <c r="C29" s="47">
        <f>C30+C31</f>
        <v>100000</v>
      </c>
      <c r="D29" s="47">
        <f>D30+D31</f>
        <v>26900</v>
      </c>
      <c r="E29" s="55">
        <f t="shared" si="0"/>
        <v>-73100</v>
      </c>
      <c r="F29" s="56">
        <f t="shared" si="1"/>
        <v>26.900000000000002</v>
      </c>
    </row>
    <row r="30" spans="1:7" ht="16.5" thickBot="1">
      <c r="A30" s="84">
        <v>1202</v>
      </c>
      <c r="B30" s="87" t="s">
        <v>138</v>
      </c>
      <c r="C30" s="49">
        <v>0</v>
      </c>
      <c r="D30" s="50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90">
        <v>1204</v>
      </c>
      <c r="B31" s="91" t="s">
        <v>150</v>
      </c>
      <c r="C31" s="88">
        <v>100000</v>
      </c>
      <c r="D31" s="89">
        <v>26900</v>
      </c>
      <c r="E31" s="55">
        <f t="shared" si="0"/>
        <v>-73100</v>
      </c>
      <c r="F31" s="56">
        <f t="shared" si="1"/>
        <v>26.900000000000002</v>
      </c>
    </row>
    <row r="32" spans="1:7" ht="16.5" thickBot="1">
      <c r="A32" s="179" t="s">
        <v>139</v>
      </c>
      <c r="B32" s="92" t="s">
        <v>140</v>
      </c>
      <c r="C32" s="180">
        <f>C34</f>
        <v>5064.0200000000004</v>
      </c>
      <c r="D32" s="171">
        <f>D34</f>
        <v>5064.0200000000004</v>
      </c>
      <c r="E32" s="55">
        <f t="shared" si="0"/>
        <v>0</v>
      </c>
      <c r="F32" s="56">
        <f t="shared" si="1"/>
        <v>100</v>
      </c>
    </row>
    <row r="33" spans="1:6" ht="16.5" thickBot="1">
      <c r="A33" s="170"/>
      <c r="B33" s="24" t="s">
        <v>141</v>
      </c>
      <c r="C33" s="172"/>
      <c r="D33" s="172"/>
      <c r="E33" s="55">
        <f t="shared" si="0"/>
        <v>0</v>
      </c>
      <c r="F33" s="56"/>
    </row>
    <row r="34" spans="1:6" ht="16.5" thickBot="1">
      <c r="A34" s="165" t="s">
        <v>142</v>
      </c>
      <c r="B34" s="41" t="s">
        <v>143</v>
      </c>
      <c r="C34" s="167">
        <v>5064.0200000000004</v>
      </c>
      <c r="D34" s="167">
        <v>5064.0200000000004</v>
      </c>
      <c r="E34" s="55">
        <f t="shared" si="0"/>
        <v>0</v>
      </c>
      <c r="F34" s="56">
        <f t="shared" si="1"/>
        <v>100</v>
      </c>
    </row>
    <row r="35" spans="1:6" ht="16.5" thickBot="1">
      <c r="A35" s="166"/>
      <c r="B35" s="26" t="s">
        <v>144</v>
      </c>
      <c r="C35" s="168"/>
      <c r="D35" s="168"/>
      <c r="E35" s="55">
        <f t="shared" si="0"/>
        <v>0</v>
      </c>
      <c r="F35" s="56"/>
    </row>
    <row r="36" spans="1:6" ht="16.5" thickBot="1">
      <c r="A36" s="86">
        <v>9800</v>
      </c>
      <c r="B36" s="24" t="s">
        <v>145</v>
      </c>
      <c r="C36" s="43">
        <f>C32+C29+C26+C24+C21+C19+C16+C13+C10+C8+C2</f>
        <v>27771536.420000002</v>
      </c>
      <c r="D36" s="43">
        <f>D32+D29+D26+D24+D21+D19+D16+D13+D10+D8+D2</f>
        <v>3804044.04</v>
      </c>
      <c r="E36" s="55">
        <f t="shared" si="0"/>
        <v>-23967492.380000003</v>
      </c>
      <c r="F36" s="56">
        <f t="shared" si="1"/>
        <v>13.697636250547781</v>
      </c>
    </row>
  </sheetData>
  <mergeCells count="6">
    <mergeCell ref="A32:A33"/>
    <mergeCell ref="C32:C33"/>
    <mergeCell ref="D32:D33"/>
    <mergeCell ref="A34:A35"/>
    <mergeCell ref="C34:C35"/>
    <mergeCell ref="D34:D35"/>
  </mergeCells>
  <pageMargins left="0.31496062992125984" right="0.11811023622047245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97">
        <v>100</v>
      </c>
      <c r="B2" s="24" t="s">
        <v>119</v>
      </c>
      <c r="C2" s="43">
        <f>SUM(C3:C8)</f>
        <v>17657064.16</v>
      </c>
      <c r="D2" s="43">
        <f>SUM(D3:D8)</f>
        <v>3243448.8099999996</v>
      </c>
      <c r="E2" s="55">
        <f>D2-C2</f>
        <v>-14413615.350000001</v>
      </c>
      <c r="F2" s="56">
        <f>D2/C2*100</f>
        <v>18.369128529009089</v>
      </c>
    </row>
    <row r="3" spans="1:6" ht="23.25" thickBot="1">
      <c r="A3" s="95">
        <v>102</v>
      </c>
      <c r="B3" s="26" t="s">
        <v>120</v>
      </c>
      <c r="C3" s="44">
        <f>780500+235700</f>
        <v>1016200</v>
      </c>
      <c r="D3" s="44">
        <f>144305.9+37914.28</f>
        <v>182220.18</v>
      </c>
      <c r="E3" s="55">
        <f t="shared" ref="E3:E38" si="0">D3-C3</f>
        <v>-833979.82000000007</v>
      </c>
      <c r="F3" s="56">
        <f>D3/C3*100</f>
        <v>17.931527258413698</v>
      </c>
    </row>
    <row r="4" spans="1:6" ht="45.75" thickBot="1">
      <c r="A4" s="95">
        <v>104</v>
      </c>
      <c r="B4" s="87" t="s">
        <v>4</v>
      </c>
      <c r="C4" s="44">
        <f>4390400+1100+1326300+195400+515800+20000+15000+10000+7600</f>
        <v>6481600</v>
      </c>
      <c r="D4" s="44">
        <f>862775.73+200+187780.83+72635.59+39917.99+3173+723.49</f>
        <v>1167206.6300000001</v>
      </c>
      <c r="E4" s="55">
        <f t="shared" si="0"/>
        <v>-5314393.37</v>
      </c>
      <c r="F4" s="56">
        <f>D4/C4*100</f>
        <v>18.008001573685512</v>
      </c>
    </row>
    <row r="5" spans="1:6" ht="38.25" customHeight="1" thickBot="1">
      <c r="A5" s="112">
        <v>106</v>
      </c>
      <c r="B5" s="120" t="s">
        <v>152</v>
      </c>
      <c r="C5" s="44">
        <v>204500</v>
      </c>
      <c r="D5" s="44">
        <v>0</v>
      </c>
      <c r="E5" s="55">
        <f t="shared" si="0"/>
        <v>-204500</v>
      </c>
      <c r="F5" s="56">
        <f>D5/C5*100</f>
        <v>0</v>
      </c>
    </row>
    <row r="6" spans="1:6" ht="25.5" customHeight="1" thickBot="1">
      <c r="A6" s="95">
        <v>107</v>
      </c>
      <c r="B6" s="113" t="s">
        <v>154</v>
      </c>
      <c r="C6" s="44">
        <v>1000000</v>
      </c>
      <c r="D6" s="44">
        <v>0</v>
      </c>
      <c r="E6" s="55">
        <f t="shared" si="0"/>
        <v>-1000000</v>
      </c>
      <c r="F6" s="56"/>
    </row>
    <row r="7" spans="1:6" ht="16.5" thickBot="1">
      <c r="A7" s="112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8" si="1">D7/C7*100</f>
        <v>0</v>
      </c>
    </row>
    <row r="8" spans="1:6" ht="16.5" thickBot="1">
      <c r="A8" s="95">
        <v>113</v>
      </c>
      <c r="B8" s="26" t="s">
        <v>121</v>
      </c>
      <c r="C8" s="44">
        <f>100000+70000+230000+10000+1205800+364200+293000+224000+1500+500+2594300+783464.16+642000+2333000+25000+24000+4000</f>
        <v>8904764.1600000001</v>
      </c>
      <c r="D8" s="45">
        <f>21257.7+196154.95+235755.53+54973.55+20696.91+4560+111.75+522542.99+126987.27+277874.43+418206.76+4978+9724+198.16</f>
        <v>1894021.9999999998</v>
      </c>
      <c r="E8" s="55">
        <f t="shared" si="0"/>
        <v>-7010742.1600000001</v>
      </c>
      <c r="F8" s="56">
        <f t="shared" si="1"/>
        <v>21.26976038857833</v>
      </c>
    </row>
    <row r="9" spans="1:6" ht="16.5" thickBot="1">
      <c r="A9" s="97">
        <v>200</v>
      </c>
      <c r="B9" s="24" t="s">
        <v>122</v>
      </c>
      <c r="C9" s="43">
        <f>C10</f>
        <v>402100</v>
      </c>
      <c r="D9" s="43">
        <f>D10</f>
        <v>64132.65</v>
      </c>
      <c r="E9" s="55">
        <f t="shared" si="0"/>
        <v>-337967.35</v>
      </c>
      <c r="F9" s="56">
        <f t="shared" si="1"/>
        <v>15.949428002984334</v>
      </c>
    </row>
    <row r="10" spans="1:6" ht="16.5" thickBot="1">
      <c r="A10" s="95">
        <v>203</v>
      </c>
      <c r="B10" s="26" t="s">
        <v>123</v>
      </c>
      <c r="C10" s="44">
        <f>307220+92780+2100</f>
        <v>402100</v>
      </c>
      <c r="D10" s="44">
        <f>30098.11+33034.54+1000</f>
        <v>64132.65</v>
      </c>
      <c r="E10" s="55">
        <f t="shared" si="0"/>
        <v>-337967.35</v>
      </c>
      <c r="F10" s="56">
        <f t="shared" si="1"/>
        <v>15.949428002984334</v>
      </c>
    </row>
    <row r="11" spans="1:6" ht="21.75" thickBot="1">
      <c r="A11" s="97">
        <v>300</v>
      </c>
      <c r="B11" s="24" t="s">
        <v>124</v>
      </c>
      <c r="C11" s="43">
        <f>SUM(C12:C13)</f>
        <v>370800</v>
      </c>
      <c r="D11" s="43">
        <f>SUM(D12:D13)</f>
        <v>0</v>
      </c>
      <c r="E11" s="55">
        <f t="shared" si="0"/>
        <v>-370800</v>
      </c>
      <c r="F11" s="56">
        <f t="shared" si="1"/>
        <v>0</v>
      </c>
    </row>
    <row r="12" spans="1:6" ht="34.5" thickBot="1">
      <c r="A12" s="95">
        <v>309</v>
      </c>
      <c r="B12" s="37" t="s">
        <v>125</v>
      </c>
      <c r="C12" s="96">
        <f>55000+10000+225800</f>
        <v>290800</v>
      </c>
      <c r="D12" s="44">
        <v>0</v>
      </c>
      <c r="E12" s="55">
        <f t="shared" si="0"/>
        <v>-290800</v>
      </c>
      <c r="F12" s="56">
        <f t="shared" si="1"/>
        <v>0</v>
      </c>
    </row>
    <row r="13" spans="1:6" ht="34.5" thickBot="1">
      <c r="A13" s="95">
        <v>314</v>
      </c>
      <c r="B13" s="38" t="s">
        <v>126</v>
      </c>
      <c r="C13" s="44">
        <f>60000+20000</f>
        <v>80000</v>
      </c>
      <c r="D13" s="44">
        <v>0</v>
      </c>
      <c r="E13" s="55">
        <f t="shared" si="0"/>
        <v>-80000</v>
      </c>
      <c r="F13" s="56">
        <f t="shared" si="1"/>
        <v>0</v>
      </c>
    </row>
    <row r="14" spans="1:6" ht="16.5" thickBot="1">
      <c r="A14" s="97">
        <v>400</v>
      </c>
      <c r="B14" s="39" t="s">
        <v>64</v>
      </c>
      <c r="C14" s="43">
        <f>SUM(C15:C16)</f>
        <v>12560106.039999999</v>
      </c>
      <c r="D14" s="43">
        <f>SUM(D15:D16)</f>
        <v>569526.72</v>
      </c>
      <c r="E14" s="55">
        <f t="shared" si="0"/>
        <v>-11990579.319999998</v>
      </c>
      <c r="F14" s="56">
        <f t="shared" si="1"/>
        <v>4.534410125091588</v>
      </c>
    </row>
    <row r="15" spans="1:6" ht="16.5" thickBot="1">
      <c r="A15" s="95">
        <v>409</v>
      </c>
      <c r="B15" s="26" t="s">
        <v>18</v>
      </c>
      <c r="C15" s="44">
        <f>4720506.04+500000+1000000+6124600</f>
        <v>12345106.039999999</v>
      </c>
      <c r="D15" s="44">
        <f>356246+141280.72</f>
        <v>497526.72</v>
      </c>
      <c r="E15" s="55">
        <f t="shared" si="0"/>
        <v>-11847579.319999998</v>
      </c>
      <c r="F15" s="56">
        <f t="shared" si="1"/>
        <v>4.030153474485668</v>
      </c>
    </row>
    <row r="16" spans="1:6" ht="23.25" thickBot="1">
      <c r="A16" s="95">
        <v>412</v>
      </c>
      <c r="B16" s="26" t="s">
        <v>127</v>
      </c>
      <c r="C16" s="44">
        <f>40000+20000+155000</f>
        <v>215000</v>
      </c>
      <c r="D16" s="44">
        <f>72000</f>
        <v>72000</v>
      </c>
      <c r="E16" s="55">
        <f t="shared" si="0"/>
        <v>-143000</v>
      </c>
      <c r="F16" s="56">
        <f t="shared" si="1"/>
        <v>33.488372093023258</v>
      </c>
    </row>
    <row r="17" spans="1:7" ht="16.5" thickBot="1">
      <c r="A17" s="97">
        <v>500</v>
      </c>
      <c r="B17" s="24" t="s">
        <v>128</v>
      </c>
      <c r="C17" s="43">
        <f>SUM(C18:C19)</f>
        <v>5355684.1099999994</v>
      </c>
      <c r="D17" s="43">
        <f>SUM(D18:D19)</f>
        <v>2119428.11</v>
      </c>
      <c r="E17" s="55">
        <f t="shared" si="0"/>
        <v>-3236255.9999999995</v>
      </c>
      <c r="F17" s="56">
        <f t="shared" si="1"/>
        <v>39.57343387827256</v>
      </c>
      <c r="G17">
        <f>D17/D38*100</f>
        <v>27.164307836136754</v>
      </c>
    </row>
    <row r="18" spans="1:7" ht="16.5" thickBot="1">
      <c r="A18" s="95">
        <v>502</v>
      </c>
      <c r="B18" s="26" t="s">
        <v>19</v>
      </c>
      <c r="C18" s="44">
        <f>100000+300000+1530000</f>
        <v>1930000</v>
      </c>
      <c r="D18" s="44">
        <f>36658.47+88492.45+1321634.44</f>
        <v>1446785.3599999999</v>
      </c>
      <c r="E18" s="55">
        <f t="shared" si="0"/>
        <v>-483214.64000000013</v>
      </c>
      <c r="F18" s="56">
        <f t="shared" si="1"/>
        <v>74.962972020725388</v>
      </c>
    </row>
    <row r="19" spans="1:7" ht="16.5" thickBot="1">
      <c r="A19" s="95">
        <v>503</v>
      </c>
      <c r="B19" s="26" t="s">
        <v>22</v>
      </c>
      <c r="C19" s="44">
        <f>2450000+205684.11+270000+500000</f>
        <v>3425684.11</v>
      </c>
      <c r="D19" s="44">
        <f>580012.35+39960+52670.4</f>
        <v>672642.75</v>
      </c>
      <c r="E19" s="55">
        <f t="shared" si="0"/>
        <v>-2753041.36</v>
      </c>
      <c r="F19" s="56">
        <f t="shared" si="1"/>
        <v>19.635282425383934</v>
      </c>
    </row>
    <row r="20" spans="1:7" ht="16.5" thickBot="1">
      <c r="A20" s="97">
        <v>700</v>
      </c>
      <c r="B20" s="24" t="s">
        <v>129</v>
      </c>
      <c r="C20" s="43">
        <f>C21</f>
        <v>25000</v>
      </c>
      <c r="D20" s="43">
        <f>D21</f>
        <v>848</v>
      </c>
      <c r="E20" s="55">
        <f t="shared" si="0"/>
        <v>-24152</v>
      </c>
      <c r="F20" s="56">
        <f t="shared" si="1"/>
        <v>3.3919999999999999</v>
      </c>
    </row>
    <row r="21" spans="1:7" ht="16.5" thickBot="1">
      <c r="A21" s="95">
        <v>707</v>
      </c>
      <c r="B21" s="26" t="s">
        <v>23</v>
      </c>
      <c r="C21" s="44">
        <f>25000</f>
        <v>25000</v>
      </c>
      <c r="D21" s="44">
        <f>848</f>
        <v>848</v>
      </c>
      <c r="E21" s="55">
        <f t="shared" si="0"/>
        <v>-24152</v>
      </c>
      <c r="F21" s="56">
        <f t="shared" si="1"/>
        <v>3.3919999999999999</v>
      </c>
    </row>
    <row r="22" spans="1:7" ht="16.5" thickBot="1">
      <c r="A22" s="97">
        <v>800</v>
      </c>
      <c r="B22" s="24" t="s">
        <v>130</v>
      </c>
      <c r="C22" s="43">
        <f>SUM(C23:C24)</f>
        <v>7899900</v>
      </c>
      <c r="D22" s="43">
        <f>SUM(D23:D24)</f>
        <v>1704389.19</v>
      </c>
      <c r="E22" s="55">
        <f t="shared" si="0"/>
        <v>-6195510.8100000005</v>
      </c>
      <c r="F22" s="56">
        <f t="shared" si="1"/>
        <v>21.574819807845667</v>
      </c>
      <c r="G22">
        <f>D22/D38*100</f>
        <v>21.84483276941334</v>
      </c>
    </row>
    <row r="23" spans="1:7" ht="16.5" thickBot="1">
      <c r="A23" s="95">
        <v>801</v>
      </c>
      <c r="B23" s="26" t="s">
        <v>131</v>
      </c>
      <c r="C23" s="44">
        <f>2878400+15000+1808300+1602700+10000+1283700+93800+20000</f>
        <v>7711900</v>
      </c>
      <c r="D23" s="44">
        <f>953359.21+242321.76+310359.6+152724.62+15624</f>
        <v>1674389.19</v>
      </c>
      <c r="E23" s="55">
        <f t="shared" si="0"/>
        <v>-6037510.8100000005</v>
      </c>
      <c r="F23" s="56">
        <f t="shared" si="1"/>
        <v>21.711759618252309</v>
      </c>
    </row>
    <row r="24" spans="1:7" ht="16.5" thickBot="1">
      <c r="A24" s="95">
        <v>804</v>
      </c>
      <c r="B24" s="26" t="s">
        <v>132</v>
      </c>
      <c r="C24" s="44">
        <v>188000</v>
      </c>
      <c r="D24" s="44">
        <v>30000</v>
      </c>
      <c r="E24" s="55">
        <f t="shared" si="0"/>
        <v>-158000</v>
      </c>
      <c r="F24" s="56">
        <f t="shared" si="1"/>
        <v>15.957446808510639</v>
      </c>
    </row>
    <row r="25" spans="1:7" ht="16.5" hidden="1" thickBot="1">
      <c r="A25" s="97">
        <v>1000</v>
      </c>
      <c r="B25" s="24" t="s">
        <v>133</v>
      </c>
      <c r="C25" s="43">
        <f>C26</f>
        <v>0</v>
      </c>
      <c r="D25" s="43">
        <f>D26</f>
        <v>0</v>
      </c>
      <c r="E25" s="55">
        <f t="shared" si="0"/>
        <v>0</v>
      </c>
      <c r="F25" s="56" t="e">
        <f t="shared" si="1"/>
        <v>#DIV/0!</v>
      </c>
    </row>
    <row r="26" spans="1:7" ht="16.5" hidden="1" thickBot="1">
      <c r="A26" s="95">
        <v>1003</v>
      </c>
      <c r="B26" s="26" t="s">
        <v>134</v>
      </c>
      <c r="C26" s="44">
        <v>0</v>
      </c>
      <c r="D26" s="44">
        <v>0</v>
      </c>
      <c r="E26" s="55">
        <f t="shared" si="0"/>
        <v>0</v>
      </c>
      <c r="F26" s="56" t="e">
        <f t="shared" si="1"/>
        <v>#DIV/0!</v>
      </c>
    </row>
    <row r="27" spans="1:7" ht="16.5" thickBot="1">
      <c r="A27" s="97">
        <v>1100</v>
      </c>
      <c r="B27" s="24" t="s">
        <v>135</v>
      </c>
      <c r="C27" s="43">
        <f>C28+C29</f>
        <v>682580</v>
      </c>
      <c r="D27" s="43">
        <f>D28+D29</f>
        <v>96879.84</v>
      </c>
      <c r="E27" s="55">
        <f t="shared" si="0"/>
        <v>-585700.16</v>
      </c>
      <c r="F27" s="56">
        <f t="shared" si="1"/>
        <v>14.193184681649038</v>
      </c>
    </row>
    <row r="28" spans="1:7" ht="16.5" thickBot="1">
      <c r="A28" s="95">
        <v>1101</v>
      </c>
      <c r="B28" s="26" t="s">
        <v>136</v>
      </c>
      <c r="C28" s="44">
        <v>582580</v>
      </c>
      <c r="D28" s="44">
        <v>96879.84</v>
      </c>
      <c r="E28" s="55">
        <f t="shared" si="0"/>
        <v>-485700.16000000003</v>
      </c>
      <c r="F28" s="56">
        <f t="shared" si="1"/>
        <v>16.629448316111091</v>
      </c>
    </row>
    <row r="29" spans="1:7" ht="16.5" customHeight="1" thickBot="1">
      <c r="A29" s="95">
        <v>1102</v>
      </c>
      <c r="B29" s="26" t="s">
        <v>151</v>
      </c>
      <c r="C29" s="49">
        <v>100000</v>
      </c>
      <c r="D29" s="49">
        <v>0</v>
      </c>
      <c r="E29" s="55">
        <f t="shared" si="0"/>
        <v>-100000</v>
      </c>
      <c r="F29" s="56">
        <f t="shared" si="1"/>
        <v>0</v>
      </c>
    </row>
    <row r="30" spans="1:7" ht="16.5" thickBot="1">
      <c r="A30" s="100">
        <v>1200</v>
      </c>
      <c r="B30" s="104" t="s">
        <v>137</v>
      </c>
      <c r="C30" s="105">
        <v>0</v>
      </c>
      <c r="D30" s="105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102">
        <v>1204</v>
      </c>
      <c r="B31" s="91" t="s">
        <v>150</v>
      </c>
      <c r="C31" s="109">
        <v>70000</v>
      </c>
      <c r="D31" s="111">
        <v>3600</v>
      </c>
      <c r="E31" s="55">
        <f t="shared" ref="E31" si="2">D31-C31</f>
        <v>-66400</v>
      </c>
      <c r="F31" s="56">
        <f t="shared" ref="F31" si="3">D31/C31*100</f>
        <v>5.1428571428571423</v>
      </c>
    </row>
    <row r="32" spans="1:7" ht="23.25" hidden="1" thickBot="1">
      <c r="A32" s="102">
        <v>1300</v>
      </c>
      <c r="B32" s="91" t="s">
        <v>161</v>
      </c>
      <c r="C32" s="103">
        <v>0</v>
      </c>
      <c r="D32" s="110"/>
      <c r="E32" s="55"/>
      <c r="F32" s="56"/>
    </row>
    <row r="33" spans="1:6" ht="23.25" hidden="1" thickBot="1">
      <c r="A33" s="106">
        <v>1301</v>
      </c>
      <c r="B33" s="107" t="s">
        <v>161</v>
      </c>
      <c r="C33" s="108">
        <v>0</v>
      </c>
      <c r="D33" s="108">
        <v>0</v>
      </c>
      <c r="E33" s="55">
        <f t="shared" si="0"/>
        <v>0</v>
      </c>
      <c r="F33" s="56" t="e">
        <f t="shared" si="1"/>
        <v>#DIV/0!</v>
      </c>
    </row>
    <row r="34" spans="1:6" ht="16.5" hidden="1" thickBot="1">
      <c r="A34" s="183" t="s">
        <v>139</v>
      </c>
      <c r="B34" s="101" t="s">
        <v>140</v>
      </c>
      <c r="C34" s="184">
        <f>C36</f>
        <v>0</v>
      </c>
      <c r="D34" s="185">
        <f>D36</f>
        <v>0</v>
      </c>
      <c r="E34" s="55">
        <f t="shared" si="0"/>
        <v>0</v>
      </c>
      <c r="F34" s="56" t="e">
        <f t="shared" si="1"/>
        <v>#DIV/0!</v>
      </c>
    </row>
    <row r="35" spans="1:6" ht="16.5" hidden="1" thickBot="1">
      <c r="A35" s="170"/>
      <c r="B35" s="24" t="s">
        <v>141</v>
      </c>
      <c r="C35" s="172"/>
      <c r="D35" s="172"/>
      <c r="E35" s="55">
        <f t="shared" si="0"/>
        <v>0</v>
      </c>
      <c r="F35" s="56"/>
    </row>
    <row r="36" spans="1:6" ht="16.5" hidden="1" thickBot="1">
      <c r="A36" s="165" t="s">
        <v>142</v>
      </c>
      <c r="B36" s="41" t="s">
        <v>143</v>
      </c>
      <c r="C36" s="167">
        <v>0</v>
      </c>
      <c r="D36" s="167">
        <v>0</v>
      </c>
      <c r="E36" s="55">
        <f t="shared" si="0"/>
        <v>0</v>
      </c>
      <c r="F36" s="56" t="e">
        <f t="shared" si="1"/>
        <v>#DIV/0!</v>
      </c>
    </row>
    <row r="37" spans="1:6" ht="16.5" hidden="1" thickBot="1">
      <c r="A37" s="166"/>
      <c r="B37" s="26" t="s">
        <v>144</v>
      </c>
      <c r="C37" s="168"/>
      <c r="D37" s="168"/>
      <c r="E37" s="55">
        <f t="shared" si="0"/>
        <v>0</v>
      </c>
      <c r="F37" s="56"/>
    </row>
    <row r="38" spans="1:6" ht="16.5" thickBot="1">
      <c r="A38" s="97">
        <v>9800</v>
      </c>
      <c r="B38" s="24" t="s">
        <v>145</v>
      </c>
      <c r="C38" s="43">
        <f>C34+C30+C27+C25+C22+C20+C17+C14+C11+C9+C2+C32+C31</f>
        <v>45023234.310000002</v>
      </c>
      <c r="D38" s="43">
        <f>D34+D30+D27+D25+D22+D20+D17+D14+D11+D9+D2+D31</f>
        <v>7802253.3199999994</v>
      </c>
      <c r="E38" s="55">
        <f t="shared" si="0"/>
        <v>-37220980.990000002</v>
      </c>
      <c r="F38" s="56">
        <f t="shared" si="1"/>
        <v>17.329393233455598</v>
      </c>
    </row>
  </sheetData>
  <mergeCells count="6">
    <mergeCell ref="A34:A35"/>
    <mergeCell ref="C34:C35"/>
    <mergeCell ref="D34:D35"/>
    <mergeCell ref="A36:A37"/>
    <mergeCell ref="C36:C37"/>
    <mergeCell ref="D36:D37"/>
  </mergeCells>
  <pageMargins left="0.31496062992125984" right="0.11811023622047245" top="0.5511811023622047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01.04</vt:lpstr>
      <vt:lpstr>01.10</vt:lpstr>
      <vt:lpstr>Доходы 01.04.2012 г.</vt:lpstr>
      <vt:lpstr>Расходы 01.04.2012 г.</vt:lpstr>
      <vt:lpstr>Доходы 01.07.2012</vt:lpstr>
      <vt:lpstr>Расходы 01.07.2012</vt:lpstr>
      <vt:lpstr>Доходы 01.04.2013</vt:lpstr>
      <vt:lpstr>Расходы на 01.04.2013 г.</vt:lpstr>
      <vt:lpstr>Расходы на 01.04.2018</vt:lpstr>
      <vt:lpstr>Доходы на 01.04.2018</vt:lpstr>
      <vt:lpstr>Доходы на 01.04.2019</vt:lpstr>
      <vt:lpstr>Расходы на 01.04.2019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Пользователь</cp:lastModifiedBy>
  <cp:lastPrinted>2019-11-14T07:10:22Z</cp:lastPrinted>
  <dcterms:created xsi:type="dcterms:W3CDTF">2010-01-27T11:07:58Z</dcterms:created>
  <dcterms:modified xsi:type="dcterms:W3CDTF">2019-11-19T07:54:13Z</dcterms:modified>
</cp:coreProperties>
</file>