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6" activeTab="11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4.2019" sheetId="12" r:id="rId11"/>
    <sheet name="Расходы на 01.04.2019" sheetId="13" r:id="rId12"/>
  </sheets>
  <calcPr calcId="125725"/>
</workbook>
</file>

<file path=xl/calcChain.xml><?xml version="1.0" encoding="utf-8"?>
<calcChain xmlns="http://schemas.openxmlformats.org/spreadsheetml/2006/main">
  <c r="D24" i="12"/>
  <c r="D7"/>
  <c r="F28"/>
  <c r="D3"/>
  <c r="C3"/>
  <c r="D24" i="13"/>
  <c r="C24"/>
  <c r="F21"/>
  <c r="F22"/>
  <c r="E21"/>
  <c r="C22"/>
  <c r="C20" s="1"/>
  <c r="D20"/>
  <c r="D19"/>
  <c r="E19" s="1"/>
  <c r="C19"/>
  <c r="C17" s="1"/>
  <c r="C18"/>
  <c r="E18" s="1"/>
  <c r="E16"/>
  <c r="C16"/>
  <c r="D15"/>
  <c r="D14" s="1"/>
  <c r="C15"/>
  <c r="C14" s="1"/>
  <c r="C13"/>
  <c r="E13" s="1"/>
  <c r="C12"/>
  <c r="F12" s="1"/>
  <c r="D10"/>
  <c r="C10"/>
  <c r="D8"/>
  <c r="C8"/>
  <c r="C2" s="1"/>
  <c r="D4"/>
  <c r="C4"/>
  <c r="D3"/>
  <c r="E3" s="1"/>
  <c r="C3"/>
  <c r="E38"/>
  <c r="F37"/>
  <c r="E37"/>
  <c r="E36"/>
  <c r="F35"/>
  <c r="E35"/>
  <c r="D35"/>
  <c r="C35"/>
  <c r="F34"/>
  <c r="E34"/>
  <c r="F32"/>
  <c r="E32"/>
  <c r="E31"/>
  <c r="F30"/>
  <c r="E30"/>
  <c r="F29"/>
  <c r="E29"/>
  <c r="D28"/>
  <c r="C28"/>
  <c r="F27"/>
  <c r="E27"/>
  <c r="F26"/>
  <c r="E26"/>
  <c r="D26"/>
  <c r="C26"/>
  <c r="F25"/>
  <c r="E25"/>
  <c r="C23"/>
  <c r="F16"/>
  <c r="F13"/>
  <c r="D11"/>
  <c r="E10"/>
  <c r="D9"/>
  <c r="E9" s="1"/>
  <c r="C9"/>
  <c r="E8"/>
  <c r="F7"/>
  <c r="E7"/>
  <c r="E6"/>
  <c r="F5"/>
  <c r="E5"/>
  <c r="F4"/>
  <c r="E32" i="12"/>
  <c r="E31"/>
  <c r="E30"/>
  <c r="E29"/>
  <c r="E28"/>
  <c r="E27"/>
  <c r="F26"/>
  <c r="E26"/>
  <c r="D25"/>
  <c r="C25"/>
  <c r="E23"/>
  <c r="E22"/>
  <c r="E21"/>
  <c r="E20"/>
  <c r="F19"/>
  <c r="E19"/>
  <c r="F17"/>
  <c r="E17"/>
  <c r="E16"/>
  <c r="E15"/>
  <c r="E14"/>
  <c r="E12"/>
  <c r="C12"/>
  <c r="F10"/>
  <c r="E10"/>
  <c r="F9"/>
  <c r="E9"/>
  <c r="E7" s="1"/>
  <c r="C7"/>
  <c r="C24" s="1"/>
  <c r="F6"/>
  <c r="E6"/>
  <c r="F5"/>
  <c r="E5"/>
  <c r="F4"/>
  <c r="E4"/>
  <c r="F3"/>
  <c r="E3"/>
  <c r="D25" i="11"/>
  <c r="C25"/>
  <c r="E28"/>
  <c r="E29"/>
  <c r="F26"/>
  <c r="E26"/>
  <c r="D9" i="10"/>
  <c r="D23"/>
  <c r="D22" s="1"/>
  <c r="C23"/>
  <c r="D20"/>
  <c r="D21"/>
  <c r="C21"/>
  <c r="D19"/>
  <c r="D17" s="1"/>
  <c r="C19"/>
  <c r="D18"/>
  <c r="C18"/>
  <c r="E18" s="1"/>
  <c r="D16"/>
  <c r="C16"/>
  <c r="F16" s="1"/>
  <c r="D15"/>
  <c r="D14" s="1"/>
  <c r="C15"/>
  <c r="C13"/>
  <c r="E13" s="1"/>
  <c r="C12"/>
  <c r="F12" s="1"/>
  <c r="D10"/>
  <c r="C10"/>
  <c r="D8"/>
  <c r="C8"/>
  <c r="F8" s="1"/>
  <c r="E6"/>
  <c r="D4"/>
  <c r="D2" s="1"/>
  <c r="C4"/>
  <c r="D3"/>
  <c r="C3"/>
  <c r="F30" i="11"/>
  <c r="E30"/>
  <c r="D4"/>
  <c r="F4" s="1"/>
  <c r="D3"/>
  <c r="C3"/>
  <c r="C2" i="10"/>
  <c r="F32" i="11"/>
  <c r="E32"/>
  <c r="F31"/>
  <c r="E31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C12"/>
  <c r="F12" s="1"/>
  <c r="F11"/>
  <c r="E11"/>
  <c r="F10"/>
  <c r="E10"/>
  <c r="F9"/>
  <c r="E9"/>
  <c r="D7"/>
  <c r="C7"/>
  <c r="F6"/>
  <c r="E6"/>
  <c r="E5"/>
  <c r="F5"/>
  <c r="F31" i="10"/>
  <c r="E31"/>
  <c r="E37"/>
  <c r="F36"/>
  <c r="E36"/>
  <c r="E35"/>
  <c r="D34"/>
  <c r="C34"/>
  <c r="F33"/>
  <c r="E33"/>
  <c r="F29"/>
  <c r="E29"/>
  <c r="F28"/>
  <c r="E28"/>
  <c r="D27"/>
  <c r="C27"/>
  <c r="F26"/>
  <c r="E26"/>
  <c r="D25"/>
  <c r="C25"/>
  <c r="F24"/>
  <c r="E24"/>
  <c r="C22"/>
  <c r="F21"/>
  <c r="E21"/>
  <c r="C20"/>
  <c r="F20" s="1"/>
  <c r="C17"/>
  <c r="E16"/>
  <c r="E15"/>
  <c r="E12"/>
  <c r="D11"/>
  <c r="F10"/>
  <c r="C9"/>
  <c r="F7"/>
  <c r="E7"/>
  <c r="F5"/>
  <c r="E5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E25" i="12" l="1"/>
  <c r="C33"/>
  <c r="C34" s="1"/>
  <c r="F25"/>
  <c r="E28" i="13"/>
  <c r="E24"/>
  <c r="E22"/>
  <c r="E20"/>
  <c r="F20"/>
  <c r="F19"/>
  <c r="F18"/>
  <c r="F14"/>
  <c r="E14"/>
  <c r="F15"/>
  <c r="E15"/>
  <c r="C11"/>
  <c r="E11" s="1"/>
  <c r="E12"/>
  <c r="E4"/>
  <c r="F3"/>
  <c r="C39"/>
  <c r="D2"/>
  <c r="D23"/>
  <c r="F8"/>
  <c r="F9"/>
  <c r="F10"/>
  <c r="D17"/>
  <c r="F24"/>
  <c r="F28"/>
  <c r="D33" i="12"/>
  <c r="F24"/>
  <c r="E24"/>
  <c r="F7"/>
  <c r="F27" i="11"/>
  <c r="E27"/>
  <c r="D24"/>
  <c r="D33" s="1"/>
  <c r="E12"/>
  <c r="F3"/>
  <c r="E7"/>
  <c r="F25"/>
  <c r="D38" i="10"/>
  <c r="G17" s="1"/>
  <c r="F23"/>
  <c r="E19"/>
  <c r="F19"/>
  <c r="F18"/>
  <c r="F15"/>
  <c r="C14"/>
  <c r="F14" s="1"/>
  <c r="F13"/>
  <c r="C11"/>
  <c r="F11" s="1"/>
  <c r="F4"/>
  <c r="F3"/>
  <c r="E25" i="11"/>
  <c r="E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C33" s="1"/>
  <c r="C34" s="1"/>
  <c r="F22" i="1"/>
  <c r="H8" i="2"/>
  <c r="G6" i="1"/>
  <c r="F29" i="5"/>
  <c r="E3" i="6"/>
  <c r="G27" i="2"/>
  <c r="G20"/>
  <c r="G6"/>
  <c r="G17" i="1"/>
  <c r="D30"/>
  <c r="E22"/>
  <c r="G22" s="1"/>
  <c r="G31" i="2"/>
  <c r="H15"/>
  <c r="H20"/>
  <c r="J5"/>
  <c r="F12" i="5"/>
  <c r="F23"/>
  <c r="F6" i="3"/>
  <c r="C2" i="8"/>
  <c r="E4" i="11"/>
  <c r="F7"/>
  <c r="F30" i="10"/>
  <c r="F25"/>
  <c r="F27"/>
  <c r="F9"/>
  <c r="F2"/>
  <c r="E2"/>
  <c r="E3"/>
  <c r="E4"/>
  <c r="E8"/>
  <c r="E9"/>
  <c r="E10"/>
  <c r="E17"/>
  <c r="F17"/>
  <c r="E20"/>
  <c r="E22"/>
  <c r="F22"/>
  <c r="E23"/>
  <c r="E25"/>
  <c r="E27"/>
  <c r="E30"/>
  <c r="E34"/>
  <c r="F34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33" i="12" l="1"/>
  <c r="E34" s="1"/>
  <c r="F11" i="13"/>
  <c r="D39"/>
  <c r="E39" s="1"/>
  <c r="E17"/>
  <c r="F17"/>
  <c r="F2"/>
  <c r="E2"/>
  <c r="F23"/>
  <c r="E23"/>
  <c r="D34" i="12"/>
  <c r="F34" s="1"/>
  <c r="F33"/>
  <c r="E24" i="11"/>
  <c r="E33" s="1"/>
  <c r="E34" s="1"/>
  <c r="C38" i="10"/>
  <c r="E38" s="1"/>
  <c r="E11"/>
  <c r="E14"/>
  <c r="E33" i="5"/>
  <c r="F21" i="8"/>
  <c r="F35" i="6"/>
  <c r="E35"/>
  <c r="G20"/>
  <c r="G8" i="1"/>
  <c r="F8"/>
  <c r="E30"/>
  <c r="E36" i="8"/>
  <c r="G15" i="6"/>
  <c r="F36" i="8"/>
  <c r="F23" i="3"/>
  <c r="F24" i="11"/>
  <c r="D34"/>
  <c r="F34" s="1"/>
  <c r="F33"/>
  <c r="G22" i="10"/>
  <c r="G21" i="8"/>
  <c r="D27" i="7"/>
  <c r="F27" s="1"/>
  <c r="F26"/>
  <c r="E6"/>
  <c r="E23"/>
  <c r="E26" s="1"/>
  <c r="E27" s="1"/>
  <c r="F26" i="3"/>
  <c r="C27"/>
  <c r="F39" i="13" l="1"/>
  <c r="F38" i="10"/>
  <c r="F30" i="1"/>
  <c r="G30"/>
  <c r="F27" i="3"/>
</calcChain>
</file>

<file path=xl/sharedStrings.xml><?xml version="1.0" encoding="utf-8"?>
<sst xmlns="http://schemas.openxmlformats.org/spreadsheetml/2006/main" count="631" uniqueCount="175">
  <si>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</si>
  <si>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</si>
  <si>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</si>
  <si>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</si>
  <si>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</si>
  <si>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</si>
  <si>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</si>
  <si>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</si>
  <si>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</si>
  <si>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</si>
  <si>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</si>
  <si>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</si>
  <si>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</si>
  <si>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</si>
  <si>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</si>
  <si>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</si>
  <si>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</si>
  <si>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</si>
  <si>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</si>
  <si>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</si>
  <si>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</si>
  <si>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</si>
  <si>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</si>
  <si>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</si>
  <si>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</si>
  <si>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</si>
  <si>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</si>
  <si>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</si>
  <si>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</si>
  <si>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</si>
  <si>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</si>
  <si>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</si>
  <si>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</si>
  <si>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</si>
  <si>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</si>
  <si>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</si>
  <si>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</si>
  <si>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</si>
  <si>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</si>
  <si>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</si>
  <si>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</si>
  <si>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</si>
  <si>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</si>
  <si>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</si>
  <si>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</si>
  <si>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</si>
  <si>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</si>
  <si>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</si>
  <si>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</si>
  <si>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</si>
  <si>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</si>
  <si>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</si>
  <si>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</si>
  <si>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</si>
  <si>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</si>
  <si>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</si>
  <si>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</si>
  <si>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</si>
  <si>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</si>
  <si>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</si>
  <si>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</si>
  <si>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</si>
  <si>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</si>
  <si>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</si>
  <si>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</si>
  <si>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</si>
  <si>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</si>
  <si>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</si>
  <si>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</si>
  <si>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</si>
  <si>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</si>
  <si>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</si>
  <si>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</si>
  <si>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</si>
  <si>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</si>
  <si>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</si>
  <si>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</si>
  <si>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</si>
  <si>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</si>
  <si>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</si>
  <si>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</si>
  <si>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</si>
  <si>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</si>
  <si>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</si>
  <si>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</si>
  <si>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</si>
  <si>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</si>
  <si>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</si>
  <si>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</si>
  <si>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</si>
  <si>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</si>
  <si>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</si>
  <si>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</si>
  <si>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</si>
  <si>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</si>
  <si>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</si>
  <si>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</si>
  <si>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</si>
  <si>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</si>
  <si>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</si>
  <si>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</si>
  <si>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</si>
  <si>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</si>
  <si>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</si>
  <si>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</si>
  <si>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</si>
  <si>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</si>
  <si>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</si>
  <si>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</si>
  <si>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</si>
  <si>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</si>
  <si>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</si>
  <si>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</si>
  <si>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</si>
  <si>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</si>
  <si>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</si>
  <si>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</si>
  <si>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</si>
  <si>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</si>
  <si>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</si>
  <si>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</si>
  <si>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</si>
  <si>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</si>
  <si>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</si>
  <si>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</si>
  <si>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</si>
  <si>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</si>
  <si>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</si>
  <si>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</si>
  <si>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</si>
  <si>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</si>
  <si>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</si>
  <si>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</si>
  <si>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</si>
  <si>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</si>
  <si>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</si>
  <si>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</si>
  <si>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</si>
  <si>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</si>
  <si>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</si>
  <si>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</si>
  <si>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</si>
  <si>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</si>
  <si>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</si>
  <si>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</si>
  <si>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</si>
  <si>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</si>
  <si>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</si>
  <si>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</si>
  <si>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</si>
  <si>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</si>
  <si>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</si>
  <si>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</si>
  <si>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</si>
  <si>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</si>
  <si>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</si>
  <si>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</si>
  <si>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</si>
  <si>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</si>
  <si>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</si>
  <si>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</si>
  <si>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</si>
  <si>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</si>
  <si>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</si>
  <si>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2 02 04000 00 0000 151</t>
  </si>
  <si>
    <t>2 02 15001 10 0000 151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</si>
  <si>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</si>
  <si>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</si>
  <si>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</si>
  <si>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</si>
  <si>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</si>
  <si>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</si>
  <si>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Дотации бюджетам сельских поселений на поддержку мер по обеспечению сбалансированности бюджетов</t>
  </si>
  <si>
    <t>Обучение</t>
  </si>
  <si>
    <t>1 14 02053 10 0000 410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</si>
</sst>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86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justify" vertical="top" wrapText="1"/>
    </xf>
    <xf numFmtId="4" fontId="17" fillId="4" borderId="9" xfId="0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wrapText="1"/>
    </xf>
    <xf numFmtId="0" fontId="0" fillId="4" borderId="0" xfId="0" applyFont="1" applyFill="1"/>
    <xf numFmtId="0" fontId="14" fillId="4" borderId="2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justify" vertical="top" wrapText="1"/>
    </xf>
    <xf numFmtId="4" fontId="17" fillId="4" borderId="6" xfId="0" applyNumberFormat="1" applyFont="1" applyFill="1" applyBorder="1" applyAlignment="1">
      <alignment horizontal="right"/>
    </xf>
    <xf numFmtId="164" fontId="4" fillId="4" borderId="10" xfId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/>
    <xf numFmtId="0" fontId="10" fillId="4" borderId="6" xfId="0" applyFont="1" applyFill="1" applyBorder="1" applyAlignment="1">
      <alignment horizontal="left" wrapText="1"/>
    </xf>
    <xf numFmtId="2" fontId="0" fillId="4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10" xfId="1" applyFont="1" applyFill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48" t="s">
        <v>52</v>
      </c>
      <c r="B2" s="148"/>
      <c r="C2" s="148"/>
      <c r="D2" s="148"/>
      <c r="E2" s="148"/>
      <c r="F2" s="148"/>
      <c r="G2" s="148"/>
      <c r="H2" s="148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49" t="s">
        <v>38</v>
      </c>
      <c r="B32" s="149"/>
      <c r="C32" s="149"/>
      <c r="D32" s="14"/>
      <c r="E32" s="150" t="s">
        <v>39</v>
      </c>
      <c r="F32" s="150"/>
      <c r="G32" s="150"/>
      <c r="H32" s="150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topLeftCell="A22" workbookViewId="0">
      <selection activeCell="A22"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57" t="s">
        <v>65</v>
      </c>
      <c r="B1" s="159" t="s">
        <v>66</v>
      </c>
      <c r="C1" s="175" t="s">
        <v>67</v>
      </c>
      <c r="D1" s="161" t="s">
        <v>68</v>
      </c>
      <c r="E1" s="57" t="s">
        <v>69</v>
      </c>
      <c r="F1" s="64" t="s">
        <v>115</v>
      </c>
    </row>
    <row r="2" spans="1:6" ht="15.75" thickBot="1">
      <c r="A2" s="158"/>
      <c r="B2" s="160"/>
      <c r="C2" s="176"/>
      <c r="D2" s="162"/>
      <c r="E2" s="58" t="s">
        <v>70</v>
      </c>
      <c r="F2" s="64"/>
    </row>
    <row r="3" spans="1:6" ht="41.25" customHeight="1" thickBot="1">
      <c r="A3" s="115" t="s">
        <v>153</v>
      </c>
      <c r="B3" s="119" t="s">
        <v>162</v>
      </c>
      <c r="C3" s="98">
        <f>2300000+23000+2967500</f>
        <v>5290500</v>
      </c>
      <c r="D3" s="99">
        <f>563939.49+3801.71+918644.17-117491.91</f>
        <v>1368893.4600000002</v>
      </c>
      <c r="E3" s="59">
        <f>C3-D3</f>
        <v>3921606.54</v>
      </c>
      <c r="F3" s="65">
        <f>D3/C3*100</f>
        <v>25.874557414233063</v>
      </c>
    </row>
    <row r="4" spans="1:6" ht="38.25" customHeight="1" thickBot="1">
      <c r="A4" s="114" t="s">
        <v>71</v>
      </c>
      <c r="B4" s="21" t="s">
        <v>72</v>
      </c>
      <c r="C4" s="77">
        <v>9600000</v>
      </c>
      <c r="D4" s="28">
        <f>1947030.98+218.14+24691.99+5528.87</f>
        <v>1977469.98</v>
      </c>
      <c r="E4" s="59">
        <f>C4-D4</f>
        <v>7622530.0199999996</v>
      </c>
      <c r="F4" s="65">
        <f>D4/C4*100</f>
        <v>20.598645625</v>
      </c>
    </row>
    <row r="5" spans="1:6" ht="25.5" customHeight="1" thickBot="1">
      <c r="A5" s="114" t="s">
        <v>73</v>
      </c>
      <c r="B5" s="21" t="s">
        <v>74</v>
      </c>
      <c r="C5" s="77">
        <v>2634000</v>
      </c>
      <c r="D5" s="28">
        <v>1758073.46</v>
      </c>
      <c r="E5" s="59">
        <f>C5-D5</f>
        <v>875926.54</v>
      </c>
      <c r="F5" s="65">
        <f>D5/C5*100</f>
        <v>66.745385725132877</v>
      </c>
    </row>
    <row r="6" spans="1:6" ht="19.5" customHeight="1" thickBot="1">
      <c r="A6" s="114" t="s">
        <v>75</v>
      </c>
      <c r="B6" s="21" t="s">
        <v>76</v>
      </c>
      <c r="C6" s="77">
        <v>1660000</v>
      </c>
      <c r="D6" s="28">
        <v>175951.54</v>
      </c>
      <c r="E6" s="59">
        <f>C6-D6</f>
        <v>1484048.46</v>
      </c>
      <c r="F6" s="65">
        <f>D6/C6*100</f>
        <v>10.599490361445783</v>
      </c>
    </row>
    <row r="7" spans="1:6" ht="13.5" customHeight="1">
      <c r="A7" s="153" t="s">
        <v>77</v>
      </c>
      <c r="B7" s="22" t="s">
        <v>78</v>
      </c>
      <c r="C7" s="177">
        <f>SUM(C9:C10)</f>
        <v>10273500</v>
      </c>
      <c r="D7" s="155">
        <f>SUM(D9:D11)</f>
        <v>3641050.02</v>
      </c>
      <c r="E7" s="155">
        <f>SUM(E9:E11)</f>
        <v>6632449.9800000004</v>
      </c>
      <c r="F7" s="181">
        <f t="shared" ref="F7:F34" si="0">D7/C7*100</f>
        <v>35.441183822455834</v>
      </c>
    </row>
    <row r="8" spans="1:6" ht="13.5" customHeight="1" thickBot="1">
      <c r="A8" s="154"/>
      <c r="B8" s="21" t="s">
        <v>79</v>
      </c>
      <c r="C8" s="178"/>
      <c r="D8" s="156"/>
      <c r="E8" s="156"/>
      <c r="F8" s="182"/>
    </row>
    <row r="9" spans="1:6" ht="47.25" customHeight="1" thickBot="1">
      <c r="A9" s="114" t="s">
        <v>155</v>
      </c>
      <c r="B9" s="23" t="s">
        <v>156</v>
      </c>
      <c r="C9" s="78">
        <v>5565500</v>
      </c>
      <c r="D9" s="29">
        <v>3324090.77</v>
      </c>
      <c r="E9" s="59">
        <f>C9-D9</f>
        <v>2241409.23</v>
      </c>
      <c r="F9" s="65">
        <f t="shared" si="0"/>
        <v>59.726723025783848</v>
      </c>
    </row>
    <row r="10" spans="1:6" ht="45.75" thickBot="1">
      <c r="A10" s="114" t="s">
        <v>157</v>
      </c>
      <c r="B10" s="23" t="s">
        <v>158</v>
      </c>
      <c r="C10" s="78">
        <v>4708000</v>
      </c>
      <c r="D10" s="29">
        <v>316959.25</v>
      </c>
      <c r="E10" s="59">
        <f>C10-D10</f>
        <v>4391040.75</v>
      </c>
      <c r="F10" s="65">
        <f t="shared" si="0"/>
        <v>6.7323545029736618</v>
      </c>
    </row>
    <row r="11" spans="1:6" ht="23.25" thickBot="1">
      <c r="A11" s="114" t="s">
        <v>149</v>
      </c>
      <c r="B11" s="23" t="s">
        <v>85</v>
      </c>
      <c r="C11" s="78">
        <v>0</v>
      </c>
      <c r="D11" s="29">
        <v>0</v>
      </c>
      <c r="E11" s="59">
        <f>C11-D11</f>
        <v>0</v>
      </c>
      <c r="F11" s="65" t="e">
        <f t="shared" si="0"/>
        <v>#DIV/0!</v>
      </c>
    </row>
    <row r="12" spans="1:6" ht="21">
      <c r="A12" s="153" t="s">
        <v>86</v>
      </c>
      <c r="B12" s="22" t="s">
        <v>87</v>
      </c>
      <c r="C12" s="177">
        <f>SUM(C14:C16)</f>
        <v>0</v>
      </c>
      <c r="D12" s="155">
        <v>0</v>
      </c>
      <c r="E12" s="155">
        <f>SUM(E14:E16)</f>
        <v>0</v>
      </c>
      <c r="F12" s="173" t="e">
        <f t="shared" si="0"/>
        <v>#DIV/0!</v>
      </c>
    </row>
    <row r="13" spans="1:6" ht="15.75" customHeight="1" thickBot="1">
      <c r="A13" s="154"/>
      <c r="B13" s="21" t="s">
        <v>79</v>
      </c>
      <c r="C13" s="178"/>
      <c r="D13" s="156"/>
      <c r="E13" s="156"/>
      <c r="F13" s="174"/>
    </row>
    <row r="14" spans="1:6" ht="38.25" customHeight="1" thickBot="1">
      <c r="A14" s="114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customHeight="1" thickBot="1">
      <c r="A15" s="114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customHeight="1" thickBot="1">
      <c r="A16" s="114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4" t="s">
        <v>91</v>
      </c>
      <c r="B17" s="21" t="s">
        <v>92</v>
      </c>
      <c r="C17" s="77">
        <v>36780</v>
      </c>
      <c r="D17" s="28">
        <v>0</v>
      </c>
      <c r="E17" s="59">
        <f t="shared" si="1"/>
        <v>36780</v>
      </c>
      <c r="F17" s="65">
        <f t="shared" si="0"/>
        <v>0</v>
      </c>
    </row>
    <row r="18" spans="1:6" ht="33.75" customHeight="1" thickBot="1">
      <c r="A18" s="114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4" t="s">
        <v>95</v>
      </c>
      <c r="B19" s="25" t="s">
        <v>96</v>
      </c>
      <c r="C19" s="77">
        <v>15000</v>
      </c>
      <c r="D19" s="28">
        <v>0</v>
      </c>
      <c r="E19" s="59">
        <f t="shared" si="1"/>
        <v>15000</v>
      </c>
      <c r="F19" s="65">
        <f t="shared" si="0"/>
        <v>0</v>
      </c>
    </row>
    <row r="20" spans="1:6" ht="24.75" customHeight="1" thickBot="1">
      <c r="A20" s="114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4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4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4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51" t="s">
        <v>106</v>
      </c>
      <c r="B24" s="152"/>
      <c r="C24" s="79">
        <f>C18+C17+C12+C7+C6+C5+C4+C3+C19+C20</f>
        <v>29509780</v>
      </c>
      <c r="D24" s="79">
        <f>D18+D17+D12+D7+D6+D5+D4+D3+D19+D20</f>
        <v>8921438.4600000009</v>
      </c>
      <c r="E24" s="79">
        <f>E18+E17+E12+E7+E6+E5+E4+E3+E20+E19</f>
        <v>20588341.539999999</v>
      </c>
      <c r="F24" s="65">
        <f t="shared" si="0"/>
        <v>30.232141547649633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9313400</v>
      </c>
      <c r="D25" s="79">
        <f>D26+D27+D28+D29+D30+D31+D32</f>
        <v>535091.29</v>
      </c>
      <c r="E25" s="59">
        <f>C25-D25</f>
        <v>8778308.7100000009</v>
      </c>
      <c r="F25" s="117">
        <f t="shared" si="0"/>
        <v>5.7453914789443168</v>
      </c>
    </row>
    <row r="26" spans="1:6" s="18" customFormat="1" ht="34.5" thickBot="1">
      <c r="A26" s="143" t="s">
        <v>165</v>
      </c>
      <c r="B26" s="26" t="s">
        <v>172</v>
      </c>
      <c r="C26" s="80">
        <v>539600</v>
      </c>
      <c r="D26" s="80">
        <v>0</v>
      </c>
      <c r="E26" s="60">
        <f>C26-D26</f>
        <v>539600</v>
      </c>
      <c r="F26" s="73">
        <f t="shared" si="0"/>
        <v>0</v>
      </c>
    </row>
    <row r="27" spans="1:6" s="132" customFormat="1" ht="28.5" customHeight="1" thickBot="1">
      <c r="A27" s="144" t="s">
        <v>166</v>
      </c>
      <c r="B27" s="127" t="s">
        <v>167</v>
      </c>
      <c r="C27" s="128">
        <v>8138300</v>
      </c>
      <c r="D27" s="129">
        <v>245158.64</v>
      </c>
      <c r="E27" s="130">
        <f>C27-D27</f>
        <v>7893141.3600000003</v>
      </c>
      <c r="F27" s="131">
        <f t="shared" si="0"/>
        <v>3.0124060307435214</v>
      </c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/>
      <c r="E28" s="130">
        <f t="shared" ref="E28:E29" si="2">C28-D28</f>
        <v>7600</v>
      </c>
      <c r="F28" s="131"/>
    </row>
    <row r="29" spans="1:6" s="132" customFormat="1" ht="30.75" customHeight="1" thickBot="1">
      <c r="A29" s="133" t="s">
        <v>170</v>
      </c>
      <c r="B29" s="134" t="s">
        <v>171</v>
      </c>
      <c r="C29" s="135">
        <v>402100</v>
      </c>
      <c r="D29" s="129">
        <v>64132.65</v>
      </c>
      <c r="E29" s="130">
        <f t="shared" si="2"/>
        <v>337967.35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>
        <v>225800</v>
      </c>
      <c r="D30" s="129">
        <v>225800</v>
      </c>
      <c r="E30" s="136">
        <f>C30-D30</f>
        <v>0</v>
      </c>
      <c r="F30" s="131">
        <f t="shared" si="0"/>
        <v>100</v>
      </c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 t="e">
        <f t="shared" ref="F31" si="3">D31/C31*100</f>
        <v>#DIV/0!</v>
      </c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 t="e">
        <f>D32/C32*100</f>
        <v>#DIV/0!</v>
      </c>
    </row>
    <row r="33" spans="1:6" ht="16.5" thickBot="1">
      <c r="A33" s="151" t="s">
        <v>109</v>
      </c>
      <c r="B33" s="152"/>
      <c r="C33" s="79">
        <f>C24++C25+C31+C32</f>
        <v>38823180</v>
      </c>
      <c r="D33" s="79">
        <f>D24++D25+D31+D32</f>
        <v>9456529.75</v>
      </c>
      <c r="E33" s="79">
        <f>E24++E25+E31+E32</f>
        <v>29366650.25</v>
      </c>
      <c r="F33" s="65">
        <f t="shared" si="0"/>
        <v>24.357947365465684</v>
      </c>
    </row>
    <row r="34" spans="1:6" ht="28.5" customHeight="1" thickBot="1">
      <c r="A34" s="151" t="s">
        <v>110</v>
      </c>
      <c r="B34" s="152"/>
      <c r="C34" s="79">
        <f>C33</f>
        <v>38823180</v>
      </c>
      <c r="D34" s="30">
        <f t="shared" ref="D34:E34" si="4">D33</f>
        <v>9456529.75</v>
      </c>
      <c r="E34" s="30">
        <f t="shared" si="4"/>
        <v>29366650.25</v>
      </c>
      <c r="F34" s="65">
        <f t="shared" si="0"/>
        <v>24.357947365465684</v>
      </c>
    </row>
  </sheetData>
  <mergeCells count="17"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1" sqref="F1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57" t="s">
        <v>65</v>
      </c>
      <c r="B1" s="159" t="s">
        <v>66</v>
      </c>
      <c r="C1" s="175" t="s">
        <v>67</v>
      </c>
      <c r="D1" s="161" t="s">
        <v>68</v>
      </c>
      <c r="E1" s="57" t="s">
        <v>69</v>
      </c>
      <c r="F1" s="64" t="s">
        <v>115</v>
      </c>
    </row>
    <row r="2" spans="1:6" ht="15.75" thickBot="1">
      <c r="A2" s="158"/>
      <c r="B2" s="160"/>
      <c r="C2" s="176"/>
      <c r="D2" s="162"/>
      <c r="E2" s="58" t="s">
        <v>70</v>
      </c>
      <c r="F2" s="64"/>
    </row>
    <row r="3" spans="1:6" ht="41.25" customHeight="1" thickBot="1">
      <c r="A3" s="122" t="s">
        <v>153</v>
      </c>
      <c r="B3" s="119" t="s">
        <v>162</v>
      </c>
      <c r="C3" s="98">
        <f>2300000+23000+2963300</f>
        <v>5286300</v>
      </c>
      <c r="D3" s="99">
        <f>750601.09+5244.45+1100536.09-147724</f>
        <v>1708657.63</v>
      </c>
      <c r="E3" s="59">
        <f>C3-D3</f>
        <v>3577642.37</v>
      </c>
      <c r="F3" s="65">
        <f>D3/C3*100</f>
        <v>32.322373493747989</v>
      </c>
    </row>
    <row r="4" spans="1:6" ht="38.25" customHeight="1" thickBot="1">
      <c r="A4" s="121" t="s">
        <v>71</v>
      </c>
      <c r="B4" s="21" t="s">
        <v>72</v>
      </c>
      <c r="C4" s="77">
        <v>11110000</v>
      </c>
      <c r="D4" s="28">
        <v>2334383.16</v>
      </c>
      <c r="E4" s="59">
        <f>C4-D4</f>
        <v>8775616.8399999999</v>
      </c>
      <c r="F4" s="65">
        <f>D4/C4*100</f>
        <v>21.011549594959497</v>
      </c>
    </row>
    <row r="5" spans="1:6" ht="25.5" customHeight="1" thickBot="1">
      <c r="A5" s="121" t="s">
        <v>73</v>
      </c>
      <c r="B5" s="21" t="s">
        <v>74</v>
      </c>
      <c r="C5" s="77">
        <v>2725000</v>
      </c>
      <c r="D5" s="28">
        <v>1139412.1299999999</v>
      </c>
      <c r="E5" s="59">
        <f>C5-D5</f>
        <v>1585587.87</v>
      </c>
      <c r="F5" s="65">
        <f>D5/C5*100</f>
        <v>41.813289174311926</v>
      </c>
    </row>
    <row r="6" spans="1:6" ht="19.5" customHeight="1" thickBot="1">
      <c r="A6" s="121" t="s">
        <v>75</v>
      </c>
      <c r="B6" s="21" t="s">
        <v>76</v>
      </c>
      <c r="C6" s="77">
        <v>4600000</v>
      </c>
      <c r="D6" s="28">
        <v>121151.24</v>
      </c>
      <c r="E6" s="59">
        <f>C6-D6</f>
        <v>4478848.76</v>
      </c>
      <c r="F6" s="65">
        <f>D6/C6*100</f>
        <v>2.6337226086956522</v>
      </c>
    </row>
    <row r="7" spans="1:6" ht="13.5" customHeight="1">
      <c r="A7" s="153" t="s">
        <v>77</v>
      </c>
      <c r="B7" s="22" t="s">
        <v>78</v>
      </c>
      <c r="C7" s="177">
        <f>SUM(C9:C10)</f>
        <v>11075000</v>
      </c>
      <c r="D7" s="155">
        <f>SUM(D9:D10)</f>
        <v>1561684.24</v>
      </c>
      <c r="E7" s="155">
        <f>SUM(E9:E11)</f>
        <v>9513315.7599999998</v>
      </c>
      <c r="F7" s="181">
        <f t="shared" ref="F7:F34" si="0">D7/C7*100</f>
        <v>14.100986365688486</v>
      </c>
    </row>
    <row r="8" spans="1:6" ht="13.5" customHeight="1" thickBot="1">
      <c r="A8" s="154"/>
      <c r="B8" s="21" t="s">
        <v>79</v>
      </c>
      <c r="C8" s="178"/>
      <c r="D8" s="156"/>
      <c r="E8" s="156"/>
      <c r="F8" s="182"/>
    </row>
    <row r="9" spans="1:6" ht="47.25" customHeight="1" thickBot="1">
      <c r="A9" s="121" t="s">
        <v>155</v>
      </c>
      <c r="B9" s="23" t="s">
        <v>156</v>
      </c>
      <c r="C9" s="78">
        <v>5590000</v>
      </c>
      <c r="D9" s="29">
        <v>1413493.9</v>
      </c>
      <c r="E9" s="59">
        <f>C9-D9</f>
        <v>4176506.1</v>
      </c>
      <c r="F9" s="65">
        <f t="shared" si="0"/>
        <v>25.286116279069766</v>
      </c>
    </row>
    <row r="10" spans="1:6" ht="45.75" thickBot="1">
      <c r="A10" s="121" t="s">
        <v>157</v>
      </c>
      <c r="B10" s="23" t="s">
        <v>158</v>
      </c>
      <c r="C10" s="78">
        <v>5485000</v>
      </c>
      <c r="D10" s="29">
        <v>148190.34</v>
      </c>
      <c r="E10" s="59">
        <f>C10-D10</f>
        <v>5336809.66</v>
      </c>
      <c r="F10" s="65">
        <f t="shared" si="0"/>
        <v>2.7017381950774841</v>
      </c>
    </row>
    <row r="11" spans="1:6" ht="23.25" thickBot="1">
      <c r="A11" s="121" t="s">
        <v>149</v>
      </c>
      <c r="B11" s="23" t="s">
        <v>85</v>
      </c>
      <c r="C11" s="78">
        <v>0</v>
      </c>
      <c r="D11" s="29">
        <v>54.22</v>
      </c>
      <c r="E11" s="59"/>
      <c r="F11" s="65"/>
    </row>
    <row r="12" spans="1:6" ht="21">
      <c r="A12" s="153" t="s">
        <v>86</v>
      </c>
      <c r="B12" s="22" t="s">
        <v>87</v>
      </c>
      <c r="C12" s="177">
        <f>SUM(C14:C16)</f>
        <v>0</v>
      </c>
      <c r="D12" s="155">
        <v>0</v>
      </c>
      <c r="E12" s="155">
        <f>SUM(E14:E16)</f>
        <v>0</v>
      </c>
      <c r="F12" s="173"/>
    </row>
    <row r="13" spans="1:6" ht="15.75" customHeight="1" thickBot="1">
      <c r="A13" s="154"/>
      <c r="B13" s="21" t="s">
        <v>79</v>
      </c>
      <c r="C13" s="178"/>
      <c r="D13" s="156"/>
      <c r="E13" s="156"/>
      <c r="F13" s="174"/>
    </row>
    <row r="14" spans="1:6" ht="38.25" customHeight="1" thickBot="1">
      <c r="A14" s="121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/>
    </row>
    <row r="15" spans="1:6" ht="48" customHeight="1" thickBot="1">
      <c r="A15" s="121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/>
    </row>
    <row r="16" spans="1:6" ht="43.5" customHeight="1" thickBot="1">
      <c r="A16" s="121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/>
    </row>
    <row r="17" spans="1:6" ht="36" customHeight="1" thickBot="1">
      <c r="A17" s="121" t="s">
        <v>91</v>
      </c>
      <c r="B17" s="21" t="s">
        <v>92</v>
      </c>
      <c r="C17" s="77">
        <v>35446</v>
      </c>
      <c r="D17" s="28">
        <v>5000</v>
      </c>
      <c r="E17" s="59">
        <f t="shared" si="1"/>
        <v>30446</v>
      </c>
      <c r="F17" s="65">
        <f t="shared" si="0"/>
        <v>14.105964001579869</v>
      </c>
    </row>
    <row r="18" spans="1:6" ht="33.75" customHeight="1" thickBot="1">
      <c r="A18" s="145" t="s">
        <v>174</v>
      </c>
      <c r="B18" s="24" t="s">
        <v>94</v>
      </c>
      <c r="C18" s="79">
        <v>0</v>
      </c>
      <c r="D18" s="30">
        <v>-126000</v>
      </c>
      <c r="E18" s="59"/>
      <c r="F18" s="65"/>
    </row>
    <row r="19" spans="1:6" ht="55.5" customHeight="1" thickBot="1">
      <c r="A19" s="121" t="s">
        <v>95</v>
      </c>
      <c r="B19" s="25" t="s">
        <v>96</v>
      </c>
      <c r="C19" s="77">
        <v>10000</v>
      </c>
      <c r="D19" s="28">
        <v>5000</v>
      </c>
      <c r="E19" s="59">
        <f t="shared" si="1"/>
        <v>5000</v>
      </c>
      <c r="F19" s="65">
        <f t="shared" si="0"/>
        <v>50</v>
      </c>
    </row>
    <row r="20" spans="1:6" ht="24.75" customHeight="1" thickBot="1">
      <c r="A20" s="121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/>
    </row>
    <row r="21" spans="1:6" ht="28.5" customHeight="1" thickBot="1">
      <c r="A21" s="121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/>
    </row>
    <row r="22" spans="1:6" ht="33.75" customHeight="1" thickBot="1">
      <c r="A22" s="121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/>
    </row>
    <row r="23" spans="1:6" ht="37.5" customHeight="1" thickBot="1">
      <c r="A23" s="121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/>
    </row>
    <row r="24" spans="1:6" ht="15.75" customHeight="1" thickBot="1">
      <c r="A24" s="151" t="s">
        <v>106</v>
      </c>
      <c r="B24" s="152"/>
      <c r="C24" s="79">
        <f>C18+C17+C12+C7+C6+C5+C4+C3+C19+C20</f>
        <v>34841746</v>
      </c>
      <c r="D24" s="79">
        <f>D18+D17+D12+D7+D6+D5+D4+D3+D19+D20+D11</f>
        <v>6749342.6199999992</v>
      </c>
      <c r="E24" s="79">
        <f>E18+E17+E12+E7+E6+E5+E4+E3+E20+E19</f>
        <v>27966457.600000001</v>
      </c>
      <c r="F24" s="65">
        <f t="shared" si="0"/>
        <v>19.371424784509937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4787700</v>
      </c>
      <c r="D25" s="79">
        <f>D26+D27+D28+D29+D30+D31+D32</f>
        <v>1166053</v>
      </c>
      <c r="E25" s="59">
        <f>C25-D25</f>
        <v>3621647</v>
      </c>
      <c r="F25" s="117">
        <f t="shared" si="0"/>
        <v>24.355180984606388</v>
      </c>
    </row>
    <row r="26" spans="1:6" s="18" customFormat="1" ht="34.5" thickBot="1">
      <c r="A26" s="143" t="s">
        <v>165</v>
      </c>
      <c r="B26" s="26" t="s">
        <v>172</v>
      </c>
      <c r="C26" s="80">
        <v>4336600</v>
      </c>
      <c r="D26" s="80">
        <v>1084600</v>
      </c>
      <c r="E26" s="60">
        <f>C26-D26</f>
        <v>3252000</v>
      </c>
      <c r="F26" s="73">
        <f t="shared" si="0"/>
        <v>25.010376792879214</v>
      </c>
    </row>
    <row r="27" spans="1:6" s="132" customFormat="1" ht="28.5" customHeight="1" thickBot="1">
      <c r="A27" s="144" t="s">
        <v>166</v>
      </c>
      <c r="B27" s="127" t="s">
        <v>167</v>
      </c>
      <c r="C27" s="128"/>
      <c r="D27" s="129"/>
      <c r="E27" s="130">
        <f>C27-D27</f>
        <v>0</v>
      </c>
      <c r="F27" s="131"/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>
        <v>1900</v>
      </c>
      <c r="E28" s="130">
        <f t="shared" ref="E28:E29" si="2">C28-D28</f>
        <v>5700</v>
      </c>
      <c r="F28" s="131">
        <f>D28/C28*100</f>
        <v>25</v>
      </c>
    </row>
    <row r="29" spans="1:6" s="132" customFormat="1" ht="30.75" customHeight="1" thickBot="1">
      <c r="A29" s="133" t="s">
        <v>170</v>
      </c>
      <c r="B29" s="134" t="s">
        <v>171</v>
      </c>
      <c r="C29" s="135">
        <v>443500</v>
      </c>
      <c r="D29" s="129">
        <v>79553</v>
      </c>
      <c r="E29" s="130">
        <f t="shared" si="2"/>
        <v>363947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/>
      <c r="D30" s="129"/>
      <c r="E30" s="136">
        <f>C30-D30</f>
        <v>0</v>
      </c>
      <c r="F30" s="131"/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/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/>
    </row>
    <row r="33" spans="1:6" ht="16.5" thickBot="1">
      <c r="A33" s="151" t="s">
        <v>109</v>
      </c>
      <c r="B33" s="152"/>
      <c r="C33" s="79">
        <f>C24++C25+C31+C32</f>
        <v>39629446</v>
      </c>
      <c r="D33" s="79">
        <f>D24++D25+D31+D32</f>
        <v>7915395.6199999992</v>
      </c>
      <c r="E33" s="79">
        <f>E24++E25+E31+E32</f>
        <v>31588104.600000001</v>
      </c>
      <c r="F33" s="65">
        <f t="shared" si="0"/>
        <v>19.973520750201754</v>
      </c>
    </row>
    <row r="34" spans="1:6" ht="28.5" customHeight="1" thickBot="1">
      <c r="A34" s="151" t="s">
        <v>110</v>
      </c>
      <c r="B34" s="152"/>
      <c r="C34" s="79">
        <f>C33</f>
        <v>39629446</v>
      </c>
      <c r="D34" s="30">
        <f t="shared" ref="D34:E34" si="3">D33</f>
        <v>7915395.6199999992</v>
      </c>
      <c r="E34" s="30">
        <f t="shared" si="3"/>
        <v>31588104.600000001</v>
      </c>
      <c r="F34" s="65">
        <f t="shared" si="0"/>
        <v>19.973520750201754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G23" sqref="G23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26">
        <v>100</v>
      </c>
      <c r="B2" s="24" t="s">
        <v>119</v>
      </c>
      <c r="C2" s="43">
        <f>SUM(C3:C8)</f>
        <v>20972946</v>
      </c>
      <c r="D2" s="43">
        <f>SUM(D3:D8)</f>
        <v>3865727.7399999998</v>
      </c>
      <c r="E2" s="55">
        <f>D2-C2</f>
        <v>-17107218.260000002</v>
      </c>
      <c r="F2" s="56">
        <f>D2/C2*100</f>
        <v>18.43197298081061</v>
      </c>
    </row>
    <row r="3" spans="1:6" ht="23.25" thickBot="1">
      <c r="A3" s="124">
        <v>102</v>
      </c>
      <c r="B3" s="26" t="s">
        <v>120</v>
      </c>
      <c r="C3" s="44">
        <f>819600+247500</f>
        <v>1067100</v>
      </c>
      <c r="D3" s="44">
        <f>231723.68+40258.42</f>
        <v>271982.09999999998</v>
      </c>
      <c r="E3" s="55">
        <f t="shared" ref="E3:E39" si="0">D3-C3</f>
        <v>-795117.9</v>
      </c>
      <c r="F3" s="56">
        <f>D3/C3*100</f>
        <v>25.487967388248521</v>
      </c>
    </row>
    <row r="4" spans="1:6" ht="45.75" thickBot="1">
      <c r="A4" s="124">
        <v>104</v>
      </c>
      <c r="B4" s="87" t="s">
        <v>4</v>
      </c>
      <c r="C4" s="44">
        <f>5002400+400+1510800+197300+171000+20000+15000+12000+7600</f>
        <v>6936500</v>
      </c>
      <c r="D4" s="44">
        <f>959658.81+100+232241.02+44701.62+5500+2202.88+9379.92+1900</f>
        <v>1255684.25</v>
      </c>
      <c r="E4" s="55">
        <f t="shared" si="0"/>
        <v>-5680815.75</v>
      </c>
      <c r="F4" s="56">
        <f>D4/C4*100</f>
        <v>18.102562531536076</v>
      </c>
    </row>
    <row r="5" spans="1:6" ht="38.25" customHeight="1" thickBot="1">
      <c r="A5" s="112">
        <v>106</v>
      </c>
      <c r="B5" s="120" t="s">
        <v>152</v>
      </c>
      <c r="C5" s="44">
        <v>284000</v>
      </c>
      <c r="D5" s="44">
        <v>0</v>
      </c>
      <c r="E5" s="55">
        <f t="shared" si="0"/>
        <v>-284000</v>
      </c>
      <c r="F5" s="56">
        <f>D5/C5*100</f>
        <v>0</v>
      </c>
    </row>
    <row r="6" spans="1:6" ht="25.5" customHeight="1" thickBot="1">
      <c r="A6" s="124">
        <v>107</v>
      </c>
      <c r="B6" s="113" t="s">
        <v>154</v>
      </c>
      <c r="C6" s="44">
        <v>890000</v>
      </c>
      <c r="D6" s="44">
        <v>0</v>
      </c>
      <c r="E6" s="55">
        <f t="shared" si="0"/>
        <v>-890000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124">
        <v>113</v>
      </c>
      <c r="B8" s="26" t="s">
        <v>121</v>
      </c>
      <c r="C8" s="44">
        <f>130000+580000+420000+10000+1266200+382400+490000+136000+3000+3600+400+3614900+600+1091700+749600+2813946+25000+28000</f>
        <v>11745346</v>
      </c>
      <c r="D8" s="45">
        <f>8500+269833.45+66970.21+94272.61+12690+99.48+776339.96+100+190799.99+324855.62+579550.07+4504+9546</f>
        <v>2338061.3899999997</v>
      </c>
      <c r="E8" s="55">
        <f t="shared" si="0"/>
        <v>-9407284.6099999994</v>
      </c>
      <c r="F8" s="56">
        <f t="shared" si="1"/>
        <v>19.906279389300234</v>
      </c>
    </row>
    <row r="9" spans="1:6" ht="16.5" thickBot="1">
      <c r="A9" s="126">
        <v>200</v>
      </c>
      <c r="B9" s="24" t="s">
        <v>122</v>
      </c>
      <c r="C9" s="43">
        <f>C10</f>
        <v>443500</v>
      </c>
      <c r="D9" s="43">
        <f>D10</f>
        <v>79553</v>
      </c>
      <c r="E9" s="55">
        <f t="shared" si="0"/>
        <v>-363947</v>
      </c>
      <c r="F9" s="56">
        <f t="shared" si="1"/>
        <v>17.937542277339347</v>
      </c>
    </row>
    <row r="10" spans="1:6" ht="16.5" thickBot="1">
      <c r="A10" s="124">
        <v>203</v>
      </c>
      <c r="B10" s="26" t="s">
        <v>123</v>
      </c>
      <c r="C10" s="44">
        <f>339480+102520+1500</f>
        <v>443500</v>
      </c>
      <c r="D10" s="44">
        <f>64253+15300</f>
        <v>79553</v>
      </c>
      <c r="E10" s="55">
        <f t="shared" si="0"/>
        <v>-363947</v>
      </c>
      <c r="F10" s="56">
        <f t="shared" si="1"/>
        <v>17.937542277339347</v>
      </c>
    </row>
    <row r="11" spans="1:6" ht="21.75" thickBot="1">
      <c r="A11" s="126">
        <v>300</v>
      </c>
      <c r="B11" s="24" t="s">
        <v>124</v>
      </c>
      <c r="C11" s="43">
        <f>SUM(C12:C13)</f>
        <v>170000</v>
      </c>
      <c r="D11" s="43">
        <f>SUM(D12:D13)</f>
        <v>34852</v>
      </c>
      <c r="E11" s="55">
        <f t="shared" si="0"/>
        <v>-135148</v>
      </c>
      <c r="F11" s="56">
        <f t="shared" si="1"/>
        <v>20.501176470588238</v>
      </c>
    </row>
    <row r="12" spans="1:6" ht="34.5" thickBot="1">
      <c r="A12" s="124">
        <v>309</v>
      </c>
      <c r="B12" s="37" t="s">
        <v>125</v>
      </c>
      <c r="C12" s="125">
        <f>55000+25000</f>
        <v>80000</v>
      </c>
      <c r="D12" s="44">
        <v>0</v>
      </c>
      <c r="E12" s="55">
        <f t="shared" si="0"/>
        <v>-80000</v>
      </c>
      <c r="F12" s="56">
        <f t="shared" si="1"/>
        <v>0</v>
      </c>
    </row>
    <row r="13" spans="1:6" ht="34.5" thickBot="1">
      <c r="A13" s="124">
        <v>314</v>
      </c>
      <c r="B13" s="38" t="s">
        <v>126</v>
      </c>
      <c r="C13" s="44">
        <f>70000+20000</f>
        <v>90000</v>
      </c>
      <c r="D13" s="44">
        <v>34852</v>
      </c>
      <c r="E13" s="55">
        <f t="shared" si="0"/>
        <v>-55148</v>
      </c>
      <c r="F13" s="56">
        <f t="shared" si="1"/>
        <v>38.724444444444444</v>
      </c>
    </row>
    <row r="14" spans="1:6" ht="16.5" thickBot="1">
      <c r="A14" s="126">
        <v>400</v>
      </c>
      <c r="B14" s="39" t="s">
        <v>64</v>
      </c>
      <c r="C14" s="43">
        <f>SUM(C15:C16)</f>
        <v>6587693.4400000004</v>
      </c>
      <c r="D14" s="43">
        <f>SUM(D15:D16)</f>
        <v>302174</v>
      </c>
      <c r="E14" s="55">
        <f t="shared" si="0"/>
        <v>-6285519.4400000004</v>
      </c>
      <c r="F14" s="56">
        <f t="shared" si="1"/>
        <v>4.5869468995812896</v>
      </c>
    </row>
    <row r="15" spans="1:6" ht="16.5" thickBot="1">
      <c r="A15" s="124">
        <v>409</v>
      </c>
      <c r="B15" s="26" t="s">
        <v>18</v>
      </c>
      <c r="C15" s="44">
        <f>4817693.44+1000000+600000</f>
        <v>6417693.4400000004</v>
      </c>
      <c r="D15" s="44">
        <f>199250+102924</f>
        <v>302174</v>
      </c>
      <c r="E15" s="55">
        <f t="shared" si="0"/>
        <v>-6115519.4400000004</v>
      </c>
      <c r="F15" s="56">
        <f t="shared" si="1"/>
        <v>4.7084517642525467</v>
      </c>
    </row>
    <row r="16" spans="1:6" ht="23.25" thickBot="1">
      <c r="A16" s="124">
        <v>412</v>
      </c>
      <c r="B16" s="26" t="s">
        <v>127</v>
      </c>
      <c r="C16" s="44">
        <f>20000+150000</f>
        <v>170000</v>
      </c>
      <c r="D16" s="44"/>
      <c r="E16" s="55">
        <f t="shared" si="0"/>
        <v>-170000</v>
      </c>
      <c r="F16" s="56">
        <f t="shared" si="1"/>
        <v>0</v>
      </c>
    </row>
    <row r="17" spans="1:6" ht="16.5" thickBot="1">
      <c r="A17" s="126">
        <v>500</v>
      </c>
      <c r="B17" s="24" t="s">
        <v>128</v>
      </c>
      <c r="C17" s="43">
        <f>SUM(C18:C19)</f>
        <v>7355000</v>
      </c>
      <c r="D17" s="43">
        <f>SUM(D18:D19)</f>
        <v>670824.19999999995</v>
      </c>
      <c r="E17" s="55">
        <f t="shared" si="0"/>
        <v>-6684175.7999999998</v>
      </c>
      <c r="F17" s="56">
        <f t="shared" si="1"/>
        <v>9.1206553365057772</v>
      </c>
    </row>
    <row r="18" spans="1:6" ht="16.5" thickBot="1">
      <c r="A18" s="124">
        <v>502</v>
      </c>
      <c r="B18" s="26" t="s">
        <v>19</v>
      </c>
      <c r="C18" s="44">
        <f>500000+400000+1580000</f>
        <v>2480000</v>
      </c>
      <c r="D18" s="44">
        <v>119310</v>
      </c>
      <c r="E18" s="55">
        <f t="shared" si="0"/>
        <v>-2360690</v>
      </c>
      <c r="F18" s="56">
        <f t="shared" si="1"/>
        <v>4.8108870967741932</v>
      </c>
    </row>
    <row r="19" spans="1:6" ht="16.5" thickBot="1">
      <c r="A19" s="124">
        <v>503</v>
      </c>
      <c r="B19" s="26" t="s">
        <v>22</v>
      </c>
      <c r="C19" s="44">
        <f>2400000+130000+150000+2195000</f>
        <v>4875000</v>
      </c>
      <c r="D19" s="44">
        <f>406485.2+145029</f>
        <v>551514.19999999995</v>
      </c>
      <c r="E19" s="55">
        <f t="shared" si="0"/>
        <v>-4323485.8</v>
      </c>
      <c r="F19" s="56">
        <f t="shared" si="1"/>
        <v>11.313111794871794</v>
      </c>
    </row>
    <row r="20" spans="1:6" ht="16.5" thickBot="1">
      <c r="A20" s="126">
        <v>700</v>
      </c>
      <c r="B20" s="24" t="s">
        <v>129</v>
      </c>
      <c r="C20" s="43">
        <f>SUM(C21:C22)</f>
        <v>180000</v>
      </c>
      <c r="D20" s="43">
        <f>SUM(D21:D22)</f>
        <v>7124</v>
      </c>
      <c r="E20" s="55">
        <f t="shared" si="0"/>
        <v>-172876</v>
      </c>
      <c r="F20" s="56">
        <f t="shared" si="1"/>
        <v>3.9577777777777783</v>
      </c>
    </row>
    <row r="21" spans="1:6" ht="16.5" thickBot="1">
      <c r="A21" s="146">
        <v>705</v>
      </c>
      <c r="B21" s="26" t="s">
        <v>173</v>
      </c>
      <c r="C21" s="44">
        <v>150000</v>
      </c>
      <c r="D21" s="44">
        <v>6000</v>
      </c>
      <c r="E21" s="147">
        <f>D21-C21</f>
        <v>-144000</v>
      </c>
      <c r="F21" s="56">
        <f>D21/C21*100</f>
        <v>4</v>
      </c>
    </row>
    <row r="22" spans="1:6" ht="16.5" thickBot="1">
      <c r="A22" s="124">
        <v>707</v>
      </c>
      <c r="B22" s="26" t="s">
        <v>23</v>
      </c>
      <c r="C22" s="44">
        <f>30000</f>
        <v>30000</v>
      </c>
      <c r="D22" s="44">
        <v>1124</v>
      </c>
      <c r="E22" s="147">
        <f t="shared" si="0"/>
        <v>-28876</v>
      </c>
      <c r="F22" s="56">
        <f t="shared" si="1"/>
        <v>3.746666666666667</v>
      </c>
    </row>
    <row r="23" spans="1:6" ht="16.5" thickBot="1">
      <c r="A23" s="126">
        <v>800</v>
      </c>
      <c r="B23" s="24" t="s">
        <v>130</v>
      </c>
      <c r="C23" s="43">
        <f>SUM(C24:C25)</f>
        <v>7348641.5600000005</v>
      </c>
      <c r="D23" s="43">
        <f>SUM(D24:D25)</f>
        <v>1039572.03</v>
      </c>
      <c r="E23" s="55">
        <f t="shared" si="0"/>
        <v>-6309069.5300000003</v>
      </c>
      <c r="F23" s="56">
        <f t="shared" si="1"/>
        <v>14.14645171508406</v>
      </c>
    </row>
    <row r="24" spans="1:6" ht="16.5" thickBot="1">
      <c r="A24" s="124">
        <v>801</v>
      </c>
      <c r="B24" s="26" t="s">
        <v>131</v>
      </c>
      <c r="C24" s="44">
        <f>4176400+2652241.56+10000+110000</f>
        <v>6948641.5600000005</v>
      </c>
      <c r="D24" s="44">
        <f>570699.42+466502.61</f>
        <v>1037202.03</v>
      </c>
      <c r="E24" s="55">
        <f t="shared" si="0"/>
        <v>-5911439.5300000003</v>
      </c>
      <c r="F24" s="56">
        <f t="shared" si="1"/>
        <v>14.926687771185017</v>
      </c>
    </row>
    <row r="25" spans="1:6" ht="16.5" thickBot="1">
      <c r="A25" s="124">
        <v>804</v>
      </c>
      <c r="B25" s="26" t="s">
        <v>132</v>
      </c>
      <c r="C25" s="44">
        <v>400000</v>
      </c>
      <c r="D25" s="44">
        <v>2370</v>
      </c>
      <c r="E25" s="55">
        <f t="shared" si="0"/>
        <v>-397630</v>
      </c>
      <c r="F25" s="56">
        <f t="shared" si="1"/>
        <v>0.59250000000000003</v>
      </c>
    </row>
    <row r="26" spans="1:6" ht="16.5" hidden="1" thickBot="1">
      <c r="A26" s="126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6" ht="16.5" hidden="1" thickBot="1">
      <c r="A27" s="124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6" ht="16.5" thickBot="1">
      <c r="A28" s="126">
        <v>1100</v>
      </c>
      <c r="B28" s="24" t="s">
        <v>135</v>
      </c>
      <c r="C28" s="43">
        <f>C29+C30</f>
        <v>3508800</v>
      </c>
      <c r="D28" s="43">
        <f>D29+D30</f>
        <v>1087579.05</v>
      </c>
      <c r="E28" s="55">
        <f t="shared" si="0"/>
        <v>-2421220.9500000002</v>
      </c>
      <c r="F28" s="56">
        <f t="shared" si="1"/>
        <v>30.99575495896033</v>
      </c>
    </row>
    <row r="29" spans="1:6" ht="16.5" thickBot="1">
      <c r="A29" s="124">
        <v>1101</v>
      </c>
      <c r="B29" s="26" t="s">
        <v>136</v>
      </c>
      <c r="C29" s="44">
        <v>1138800</v>
      </c>
      <c r="D29" s="44">
        <v>370940.05</v>
      </c>
      <c r="E29" s="55">
        <f t="shared" si="0"/>
        <v>-767859.95</v>
      </c>
      <c r="F29" s="56">
        <f t="shared" si="1"/>
        <v>32.572888127853886</v>
      </c>
    </row>
    <row r="30" spans="1:6" ht="16.5" customHeight="1" thickBot="1">
      <c r="A30" s="124">
        <v>1102</v>
      </c>
      <c r="B30" s="26" t="s">
        <v>151</v>
      </c>
      <c r="C30" s="49">
        <v>2370000</v>
      </c>
      <c r="D30" s="49">
        <v>716639</v>
      </c>
      <c r="E30" s="55">
        <f t="shared" si="0"/>
        <v>-1653361</v>
      </c>
      <c r="F30" s="56">
        <f t="shared" si="1"/>
        <v>30.237932489451474</v>
      </c>
    </row>
    <row r="31" spans="1:6" ht="16.5" thickBot="1">
      <c r="A31" s="123">
        <v>1200</v>
      </c>
      <c r="B31" s="104" t="s">
        <v>137</v>
      </c>
      <c r="C31" s="105">
        <v>0</v>
      </c>
      <c r="D31" s="105">
        <v>0</v>
      </c>
      <c r="E31" s="55">
        <f t="shared" si="0"/>
        <v>0</v>
      </c>
      <c r="F31" s="56"/>
    </row>
    <row r="32" spans="1:6" ht="23.25" thickBot="1">
      <c r="A32" s="102">
        <v>1204</v>
      </c>
      <c r="B32" s="91" t="s">
        <v>150</v>
      </c>
      <c r="C32" s="109">
        <v>80000</v>
      </c>
      <c r="D32" s="111">
        <v>6796.8</v>
      </c>
      <c r="E32" s="55">
        <f t="shared" si="0"/>
        <v>-73203.199999999997</v>
      </c>
      <c r="F32" s="56">
        <f t="shared" si="1"/>
        <v>8.4960000000000004</v>
      </c>
    </row>
    <row r="33" spans="1:6" ht="23.25" hidden="1" thickBot="1">
      <c r="A33" s="102">
        <v>1300</v>
      </c>
      <c r="B33" s="91" t="s">
        <v>161</v>
      </c>
      <c r="C33" s="103">
        <v>0</v>
      </c>
      <c r="D33" s="110"/>
      <c r="E33" s="55"/>
      <c r="F33" s="56"/>
    </row>
    <row r="34" spans="1:6" ht="23.25" hidden="1" thickBot="1">
      <c r="A34" s="106">
        <v>1301</v>
      </c>
      <c r="B34" s="107" t="s">
        <v>161</v>
      </c>
      <c r="C34" s="108">
        <v>0</v>
      </c>
      <c r="D34" s="108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183" t="s">
        <v>139</v>
      </c>
      <c r="B35" s="101" t="s">
        <v>140</v>
      </c>
      <c r="C35" s="184">
        <f>C37</f>
        <v>0</v>
      </c>
      <c r="D35" s="185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170"/>
      <c r="B36" s="24" t="s">
        <v>141</v>
      </c>
      <c r="C36" s="172"/>
      <c r="D36" s="172"/>
      <c r="E36" s="55">
        <f t="shared" si="0"/>
        <v>0</v>
      </c>
      <c r="F36" s="56"/>
    </row>
    <row r="37" spans="1:6" ht="16.5" hidden="1" thickBot="1">
      <c r="A37" s="165" t="s">
        <v>142</v>
      </c>
      <c r="B37" s="41" t="s">
        <v>143</v>
      </c>
      <c r="C37" s="167">
        <v>0</v>
      </c>
      <c r="D37" s="167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166"/>
      <c r="B38" s="26" t="s">
        <v>144</v>
      </c>
      <c r="C38" s="168"/>
      <c r="D38" s="168"/>
      <c r="E38" s="55">
        <f t="shared" si="0"/>
        <v>0</v>
      </c>
      <c r="F38" s="56"/>
    </row>
    <row r="39" spans="1:6" ht="16.5" thickBot="1">
      <c r="A39" s="126">
        <v>9800</v>
      </c>
      <c r="B39" s="24" t="s">
        <v>145</v>
      </c>
      <c r="C39" s="43">
        <f>C35+C31+C28+C26+C23+C20+C17+C14+C11+C9+C2+C33+C32</f>
        <v>46646581</v>
      </c>
      <c r="D39" s="43">
        <f>D35+D31+D28+D26+D23+D20+D17+D14+D11+D9+D2+D32</f>
        <v>7094202.8199999994</v>
      </c>
      <c r="E39" s="55">
        <f t="shared" si="0"/>
        <v>-39552378.18</v>
      </c>
      <c r="F39" s="56">
        <f t="shared" si="1"/>
        <v>15.208408993576613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48" t="s">
        <v>54</v>
      </c>
      <c r="B2" s="148"/>
      <c r="C2" s="148"/>
      <c r="D2" s="148"/>
      <c r="E2" s="148"/>
      <c r="F2" s="148"/>
      <c r="G2" s="148"/>
      <c r="H2" s="148"/>
      <c r="I2" s="148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49" t="s">
        <v>38</v>
      </c>
      <c r="B33" s="149"/>
      <c r="C33" s="149"/>
      <c r="D33" s="17"/>
      <c r="E33" s="14"/>
      <c r="F33" s="150" t="s">
        <v>39</v>
      </c>
      <c r="G33" s="150"/>
      <c r="H33" s="150"/>
      <c r="I33" s="150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57" t="s">
        <v>65</v>
      </c>
      <c r="B1" s="159" t="s">
        <v>66</v>
      </c>
      <c r="C1" s="161" t="s">
        <v>67</v>
      </c>
      <c r="D1" s="161" t="s">
        <v>68</v>
      </c>
      <c r="E1" s="57" t="s">
        <v>69</v>
      </c>
      <c r="F1" s="64" t="s">
        <v>115</v>
      </c>
    </row>
    <row r="2" spans="1:6" ht="15.75" thickBot="1">
      <c r="A2" s="158"/>
      <c r="B2" s="160"/>
      <c r="C2" s="162"/>
      <c r="D2" s="162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53" t="s">
        <v>77</v>
      </c>
      <c r="B6" s="22" t="s">
        <v>78</v>
      </c>
      <c r="C6" s="155">
        <v>10110000</v>
      </c>
      <c r="D6" s="155">
        <v>2683258.98</v>
      </c>
      <c r="E6" s="163">
        <v>-7428741.0199999996</v>
      </c>
      <c r="F6" s="65">
        <f t="shared" ref="F6:F26" si="0">D6/C6*100</f>
        <v>26.540642729970326</v>
      </c>
    </row>
    <row r="7" spans="1:6" ht="13.5" customHeight="1" thickBot="1">
      <c r="A7" s="154"/>
      <c r="B7" s="21" t="s">
        <v>79</v>
      </c>
      <c r="C7" s="156"/>
      <c r="D7" s="156"/>
      <c r="E7" s="164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53" t="s">
        <v>86</v>
      </c>
      <c r="B11" s="22" t="s">
        <v>87</v>
      </c>
      <c r="C11" s="155">
        <v>2308000</v>
      </c>
      <c r="D11" s="155">
        <v>174530.63</v>
      </c>
      <c r="E11" s="163">
        <v>-2133469.37</v>
      </c>
      <c r="F11" s="65">
        <f t="shared" si="0"/>
        <v>7.5619857019064121</v>
      </c>
    </row>
    <row r="12" spans="1:6" ht="15.75" thickBot="1">
      <c r="A12" s="154"/>
      <c r="B12" s="21" t="s">
        <v>79</v>
      </c>
      <c r="C12" s="156"/>
      <c r="D12" s="156"/>
      <c r="E12" s="164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51" t="s">
        <v>106</v>
      </c>
      <c r="B23" s="152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51" t="s">
        <v>109</v>
      </c>
      <c r="B25" s="152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51" t="s">
        <v>110</v>
      </c>
      <c r="B26" s="152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69" t="s">
        <v>139</v>
      </c>
      <c r="B29" s="40" t="s">
        <v>140</v>
      </c>
      <c r="C29" s="171">
        <f>C31</f>
        <v>222037.11</v>
      </c>
      <c r="D29" s="171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70"/>
      <c r="B30" s="24" t="s">
        <v>141</v>
      </c>
      <c r="C30" s="172"/>
      <c r="D30" s="172"/>
      <c r="E30" s="55">
        <f t="shared" si="0"/>
        <v>0</v>
      </c>
      <c r="F30" s="56"/>
    </row>
    <row r="31" spans="1:6" ht="15" customHeight="1" thickBot="1">
      <c r="A31" s="165" t="s">
        <v>142</v>
      </c>
      <c r="B31" s="41" t="s">
        <v>143</v>
      </c>
      <c r="C31" s="167">
        <v>222037.11</v>
      </c>
      <c r="D31" s="167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66"/>
      <c r="B32" s="26" t="s">
        <v>144</v>
      </c>
      <c r="C32" s="168"/>
      <c r="D32" s="168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57" t="s">
        <v>65</v>
      </c>
      <c r="B1" s="159" t="s">
        <v>66</v>
      </c>
      <c r="C1" s="175" t="s">
        <v>67</v>
      </c>
      <c r="D1" s="161" t="s">
        <v>68</v>
      </c>
      <c r="E1" s="57" t="s">
        <v>69</v>
      </c>
      <c r="F1" s="64" t="s">
        <v>115</v>
      </c>
    </row>
    <row r="2" spans="1:6" ht="15.75" thickBot="1">
      <c r="A2" s="158"/>
      <c r="B2" s="160"/>
      <c r="C2" s="176"/>
      <c r="D2" s="162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53" t="s">
        <v>77</v>
      </c>
      <c r="B6" s="22" t="s">
        <v>78</v>
      </c>
      <c r="C6" s="177">
        <f>SUM(C8:C9)</f>
        <v>10110000</v>
      </c>
      <c r="D6" s="155">
        <f>SUM(D8:D10)</f>
        <v>3767762.52</v>
      </c>
      <c r="E6" s="155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54"/>
      <c r="B7" s="21" t="s">
        <v>79</v>
      </c>
      <c r="C7" s="178"/>
      <c r="D7" s="156"/>
      <c r="E7" s="156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53" t="s">
        <v>86</v>
      </c>
      <c r="B11" s="22" t="s">
        <v>87</v>
      </c>
      <c r="C11" s="177">
        <f>SUM(C13:C15)</f>
        <v>2308000</v>
      </c>
      <c r="D11" s="155">
        <f>SUM(D13:D15)</f>
        <v>529982.33000000007</v>
      </c>
      <c r="E11" s="155">
        <f>SUM(E13:E15)</f>
        <v>1778017.67</v>
      </c>
      <c r="F11" s="173">
        <f t="shared" si="0"/>
        <v>22.962839254766035</v>
      </c>
    </row>
    <row r="12" spans="1:6" ht="15.75" customHeight="1" thickBot="1">
      <c r="A12" s="154"/>
      <c r="B12" s="21" t="s">
        <v>79</v>
      </c>
      <c r="C12" s="178"/>
      <c r="D12" s="156"/>
      <c r="E12" s="156"/>
      <c r="F12" s="174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51" t="s">
        <v>106</v>
      </c>
      <c r="B23" s="152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51" t="s">
        <v>109</v>
      </c>
      <c r="B26" s="152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51" t="s">
        <v>110</v>
      </c>
      <c r="B27" s="152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79" t="s">
        <v>139</v>
      </c>
      <c r="B31" s="92" t="s">
        <v>140</v>
      </c>
      <c r="C31" s="180">
        <f>C33</f>
        <v>222037.11</v>
      </c>
      <c r="D31" s="171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70"/>
      <c r="B32" s="24" t="s">
        <v>141</v>
      </c>
      <c r="C32" s="172"/>
      <c r="D32" s="172"/>
      <c r="E32" s="55">
        <f t="shared" si="0"/>
        <v>0</v>
      </c>
      <c r="F32" s="56"/>
    </row>
    <row r="33" spans="1:6" ht="16.5" thickBot="1">
      <c r="A33" s="165" t="s">
        <v>142</v>
      </c>
      <c r="B33" s="41" t="s">
        <v>143</v>
      </c>
      <c r="C33" s="167">
        <v>222037.11</v>
      </c>
      <c r="D33" s="167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66"/>
      <c r="B34" s="26" t="s">
        <v>144</v>
      </c>
      <c r="C34" s="168"/>
      <c r="D34" s="168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57" t="s">
        <v>65</v>
      </c>
      <c r="B1" s="159" t="s">
        <v>66</v>
      </c>
      <c r="C1" s="175" t="s">
        <v>67</v>
      </c>
      <c r="D1" s="161" t="s">
        <v>68</v>
      </c>
      <c r="E1" s="57" t="s">
        <v>69</v>
      </c>
      <c r="F1" s="64" t="s">
        <v>115</v>
      </c>
    </row>
    <row r="2" spans="1:6" ht="15.75" thickBot="1">
      <c r="A2" s="158"/>
      <c r="B2" s="160"/>
      <c r="C2" s="176"/>
      <c r="D2" s="162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53" t="s">
        <v>77</v>
      </c>
      <c r="B6" s="22" t="s">
        <v>78</v>
      </c>
      <c r="C6" s="177">
        <f>SUM(C8:C9)</f>
        <v>8682000</v>
      </c>
      <c r="D6" s="155">
        <f>SUM(D8:D10)</f>
        <v>2319408.6</v>
      </c>
      <c r="E6" s="155">
        <f>SUM(E8:E9)</f>
        <v>6362613.7199999997</v>
      </c>
      <c r="F6" s="181">
        <f t="shared" ref="F6:F27" si="0">D6/C6*100</f>
        <v>26.715141672425709</v>
      </c>
    </row>
    <row r="7" spans="1:6" ht="13.5" customHeight="1" thickBot="1">
      <c r="A7" s="154"/>
      <c r="B7" s="21" t="s">
        <v>79</v>
      </c>
      <c r="C7" s="178"/>
      <c r="D7" s="156"/>
      <c r="E7" s="156"/>
      <c r="F7" s="182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53" t="s">
        <v>86</v>
      </c>
      <c r="B11" s="22" t="s">
        <v>87</v>
      </c>
      <c r="C11" s="177">
        <f>SUM(C13:C15)</f>
        <v>2623000</v>
      </c>
      <c r="D11" s="155">
        <f>SUM(D13:D15)</f>
        <v>200062.5</v>
      </c>
      <c r="E11" s="155">
        <f>SUM(E13:E15)</f>
        <v>2422937.5</v>
      </c>
      <c r="F11" s="173">
        <f t="shared" si="0"/>
        <v>7.6272398017537171</v>
      </c>
    </row>
    <row r="12" spans="1:6" ht="15.75" customHeight="1" thickBot="1">
      <c r="A12" s="154"/>
      <c r="B12" s="21" t="s">
        <v>79</v>
      </c>
      <c r="C12" s="178"/>
      <c r="D12" s="156"/>
      <c r="E12" s="156"/>
      <c r="F12" s="174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51" t="s">
        <v>106</v>
      </c>
      <c r="B23" s="152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51" t="s">
        <v>109</v>
      </c>
      <c r="B26" s="152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51" t="s">
        <v>110</v>
      </c>
      <c r="B27" s="152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79" t="s">
        <v>139</v>
      </c>
      <c r="B32" s="92" t="s">
        <v>140</v>
      </c>
      <c r="C32" s="180">
        <f>C34</f>
        <v>5064.0200000000004</v>
      </c>
      <c r="D32" s="171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70"/>
      <c r="B33" s="24" t="s">
        <v>141</v>
      </c>
      <c r="C33" s="172"/>
      <c r="D33" s="172"/>
      <c r="E33" s="55">
        <f t="shared" si="0"/>
        <v>0</v>
      </c>
      <c r="F33" s="56"/>
    </row>
    <row r="34" spans="1:6" ht="16.5" thickBot="1">
      <c r="A34" s="165" t="s">
        <v>142</v>
      </c>
      <c r="B34" s="41" t="s">
        <v>143</v>
      </c>
      <c r="C34" s="167">
        <v>5064.0200000000004</v>
      </c>
      <c r="D34" s="167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66"/>
      <c r="B35" s="26" t="s">
        <v>144</v>
      </c>
      <c r="C35" s="168"/>
      <c r="D35" s="168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17657064.16</v>
      </c>
      <c r="D2" s="43">
        <f>SUM(D3:D8)</f>
        <v>3243448.8099999996</v>
      </c>
      <c r="E2" s="55">
        <f>D2-C2</f>
        <v>-14413615.350000001</v>
      </c>
      <c r="F2" s="56">
        <f>D2/C2*100</f>
        <v>18.369128529009089</v>
      </c>
    </row>
    <row r="3" spans="1:6" ht="23.25" thickBot="1">
      <c r="A3" s="95">
        <v>102</v>
      </c>
      <c r="B3" s="26" t="s">
        <v>120</v>
      </c>
      <c r="C3" s="44">
        <f>780500+235700</f>
        <v>1016200</v>
      </c>
      <c r="D3" s="44">
        <f>144305.9+37914.28</f>
        <v>182220.18</v>
      </c>
      <c r="E3" s="55">
        <f t="shared" ref="E3:E38" si="0">D3-C3</f>
        <v>-833979.82000000007</v>
      </c>
      <c r="F3" s="56">
        <f>D3/C3*100</f>
        <v>17.931527258413698</v>
      </c>
    </row>
    <row r="4" spans="1:6" ht="45.75" thickBot="1">
      <c r="A4" s="95">
        <v>104</v>
      </c>
      <c r="B4" s="87" t="s">
        <v>4</v>
      </c>
      <c r="C4" s="44">
        <f>4390400+1100+1326300+195400+515800+20000+15000+10000+7600</f>
        <v>6481600</v>
      </c>
      <c r="D4" s="44">
        <f>862775.73+200+187780.83+72635.59+39917.99+3173+723.49</f>
        <v>1167206.6300000001</v>
      </c>
      <c r="E4" s="55">
        <f t="shared" si="0"/>
        <v>-5314393.37</v>
      </c>
      <c r="F4" s="56">
        <f>D4/C4*100</f>
        <v>18.008001573685512</v>
      </c>
    </row>
    <row r="5" spans="1:6" ht="38.25" customHeight="1" thickBot="1">
      <c r="A5" s="112">
        <v>106</v>
      </c>
      <c r="B5" s="120" t="s">
        <v>152</v>
      </c>
      <c r="C5" s="44">
        <v>204500</v>
      </c>
      <c r="D5" s="44">
        <v>0</v>
      </c>
      <c r="E5" s="55">
        <f t="shared" si="0"/>
        <v>-204500</v>
      </c>
      <c r="F5" s="56">
        <f>D5/C5*100</f>
        <v>0</v>
      </c>
    </row>
    <row r="6" spans="1:6" ht="25.5" customHeight="1" thickBot="1">
      <c r="A6" s="95">
        <v>107</v>
      </c>
      <c r="B6" s="113" t="s">
        <v>154</v>
      </c>
      <c r="C6" s="44">
        <v>1000000</v>
      </c>
      <c r="D6" s="44">
        <v>0</v>
      </c>
      <c r="E6" s="55">
        <f t="shared" si="0"/>
        <v>-1000000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5">
        <v>113</v>
      </c>
      <c r="B8" s="26" t="s">
        <v>121</v>
      </c>
      <c r="C8" s="44">
        <f>100000+70000+230000+10000+1205800+364200+293000+224000+1500+500+2594300+783464.16+642000+2333000+25000+24000+4000</f>
        <v>8904764.1600000001</v>
      </c>
      <c r="D8" s="45">
        <f>21257.7+196154.95+235755.53+54973.55+20696.91+4560+111.75+522542.99+126987.27+277874.43+418206.76+4978+9724+198.16</f>
        <v>1894021.9999999998</v>
      </c>
      <c r="E8" s="55">
        <f t="shared" si="0"/>
        <v>-7010742.1600000001</v>
      </c>
      <c r="F8" s="56">
        <f t="shared" si="1"/>
        <v>21.26976038857833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f>D10</f>
        <v>64132.65</v>
      </c>
      <c r="E9" s="55">
        <f t="shared" si="0"/>
        <v>-337967.35</v>
      </c>
      <c r="F9" s="56">
        <f t="shared" si="1"/>
        <v>15.949428002984334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f>30098.11+33034.54+1000</f>
        <v>64132.65</v>
      </c>
      <c r="E10" s="55">
        <f t="shared" si="0"/>
        <v>-337967.35</v>
      </c>
      <c r="F10" s="56">
        <f t="shared" si="1"/>
        <v>15.949428002984334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0</v>
      </c>
      <c r="E11" s="55">
        <f t="shared" si="0"/>
        <v>-370800</v>
      </c>
      <c r="F11" s="56">
        <f t="shared" si="1"/>
        <v>0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0</v>
      </c>
      <c r="E13" s="55">
        <f t="shared" si="0"/>
        <v>-80000</v>
      </c>
      <c r="F13" s="56">
        <f t="shared" si="1"/>
        <v>0</v>
      </c>
    </row>
    <row r="14" spans="1:6" ht="16.5" thickBot="1">
      <c r="A14" s="97">
        <v>400</v>
      </c>
      <c r="B14" s="39" t="s">
        <v>64</v>
      </c>
      <c r="C14" s="43">
        <f>SUM(C15:C16)</f>
        <v>12560106.039999999</v>
      </c>
      <c r="D14" s="43">
        <f>SUM(D15:D16)</f>
        <v>569526.72</v>
      </c>
      <c r="E14" s="55">
        <f t="shared" si="0"/>
        <v>-11990579.319999998</v>
      </c>
      <c r="F14" s="56">
        <f t="shared" si="1"/>
        <v>4.534410125091588</v>
      </c>
    </row>
    <row r="15" spans="1:6" ht="16.5" thickBot="1">
      <c r="A15" s="95">
        <v>409</v>
      </c>
      <c r="B15" s="26" t="s">
        <v>18</v>
      </c>
      <c r="C15" s="44">
        <f>4720506.04+500000+1000000+6124600</f>
        <v>12345106.039999999</v>
      </c>
      <c r="D15" s="44">
        <f>356246+141280.72</f>
        <v>497526.72</v>
      </c>
      <c r="E15" s="55">
        <f t="shared" si="0"/>
        <v>-11847579.319999998</v>
      </c>
      <c r="F15" s="56">
        <f t="shared" si="1"/>
        <v>4.030153474485668</v>
      </c>
    </row>
    <row r="16" spans="1:6" ht="23.25" thickBot="1">
      <c r="A16" s="95">
        <v>412</v>
      </c>
      <c r="B16" s="26" t="s">
        <v>127</v>
      </c>
      <c r="C16" s="44">
        <f>40000+20000+155000</f>
        <v>215000</v>
      </c>
      <c r="D16" s="44">
        <f>72000</f>
        <v>72000</v>
      </c>
      <c r="E16" s="55">
        <f t="shared" si="0"/>
        <v>-143000</v>
      </c>
      <c r="F16" s="56">
        <f t="shared" si="1"/>
        <v>33.488372093023258</v>
      </c>
    </row>
    <row r="17" spans="1:7" ht="16.5" thickBot="1">
      <c r="A17" s="97">
        <v>500</v>
      </c>
      <c r="B17" s="24" t="s">
        <v>128</v>
      </c>
      <c r="C17" s="43">
        <f>SUM(C18:C19)</f>
        <v>5355684.1099999994</v>
      </c>
      <c r="D17" s="43">
        <f>SUM(D18:D19)</f>
        <v>2119428.11</v>
      </c>
      <c r="E17" s="55">
        <f t="shared" si="0"/>
        <v>-3236255.9999999995</v>
      </c>
      <c r="F17" s="56">
        <f t="shared" si="1"/>
        <v>39.57343387827256</v>
      </c>
      <c r="G17">
        <f>D17/D38*100</f>
        <v>27.164307836136754</v>
      </c>
    </row>
    <row r="18" spans="1:7" ht="16.5" thickBot="1">
      <c r="A18" s="95">
        <v>502</v>
      </c>
      <c r="B18" s="26" t="s">
        <v>19</v>
      </c>
      <c r="C18" s="44">
        <f>100000+300000+1530000</f>
        <v>1930000</v>
      </c>
      <c r="D18" s="44">
        <f>36658.47+88492.45+1321634.44</f>
        <v>1446785.3599999999</v>
      </c>
      <c r="E18" s="55">
        <f t="shared" si="0"/>
        <v>-483214.64000000013</v>
      </c>
      <c r="F18" s="56">
        <f t="shared" si="1"/>
        <v>74.962972020725388</v>
      </c>
    </row>
    <row r="19" spans="1:7" ht="16.5" thickBot="1">
      <c r="A19" s="95">
        <v>503</v>
      </c>
      <c r="B19" s="26" t="s">
        <v>22</v>
      </c>
      <c r="C19" s="44">
        <f>2450000+205684.11+270000+500000</f>
        <v>3425684.11</v>
      </c>
      <c r="D19" s="44">
        <f>580012.35+39960+52670.4</f>
        <v>672642.75</v>
      </c>
      <c r="E19" s="55">
        <f t="shared" si="0"/>
        <v>-2753041.36</v>
      </c>
      <c r="F19" s="56">
        <f t="shared" si="1"/>
        <v>19.635282425383934</v>
      </c>
    </row>
    <row r="20" spans="1:7" ht="16.5" thickBot="1">
      <c r="A20" s="97">
        <v>700</v>
      </c>
      <c r="B20" s="24" t="s">
        <v>129</v>
      </c>
      <c r="C20" s="43">
        <f>C21</f>
        <v>25000</v>
      </c>
      <c r="D20" s="43">
        <f>D21</f>
        <v>848</v>
      </c>
      <c r="E20" s="55">
        <f t="shared" si="0"/>
        <v>-24152</v>
      </c>
      <c r="F20" s="56">
        <f t="shared" si="1"/>
        <v>3.3919999999999999</v>
      </c>
    </row>
    <row r="21" spans="1:7" ht="16.5" thickBot="1">
      <c r="A21" s="95">
        <v>707</v>
      </c>
      <c r="B21" s="26" t="s">
        <v>23</v>
      </c>
      <c r="C21" s="44">
        <f>25000</f>
        <v>25000</v>
      </c>
      <c r="D21" s="44">
        <f>848</f>
        <v>848</v>
      </c>
      <c r="E21" s="55">
        <f t="shared" si="0"/>
        <v>-24152</v>
      </c>
      <c r="F21" s="56">
        <f t="shared" si="1"/>
        <v>3.3919999999999999</v>
      </c>
    </row>
    <row r="22" spans="1:7" ht="16.5" thickBot="1">
      <c r="A22" s="97">
        <v>800</v>
      </c>
      <c r="B22" s="24" t="s">
        <v>130</v>
      </c>
      <c r="C22" s="43">
        <f>SUM(C23:C24)</f>
        <v>7899900</v>
      </c>
      <c r="D22" s="43">
        <f>SUM(D23:D24)</f>
        <v>1704389.19</v>
      </c>
      <c r="E22" s="55">
        <f t="shared" si="0"/>
        <v>-6195510.8100000005</v>
      </c>
      <c r="F22" s="56">
        <f t="shared" si="1"/>
        <v>21.574819807845667</v>
      </c>
      <c r="G22">
        <f>D22/D38*100</f>
        <v>21.84483276941334</v>
      </c>
    </row>
    <row r="23" spans="1:7" ht="16.5" thickBot="1">
      <c r="A23" s="95">
        <v>801</v>
      </c>
      <c r="B23" s="26" t="s">
        <v>131</v>
      </c>
      <c r="C23" s="44">
        <f>2878400+15000+1808300+1602700+10000+1283700+93800+20000</f>
        <v>7711900</v>
      </c>
      <c r="D23" s="44">
        <f>953359.21+242321.76+310359.6+152724.62+15624</f>
        <v>1674389.19</v>
      </c>
      <c r="E23" s="55">
        <f t="shared" si="0"/>
        <v>-6037510.8100000005</v>
      </c>
      <c r="F23" s="56">
        <f t="shared" si="1"/>
        <v>21.711759618252309</v>
      </c>
    </row>
    <row r="24" spans="1:7" ht="16.5" thickBot="1">
      <c r="A24" s="95">
        <v>804</v>
      </c>
      <c r="B24" s="26" t="s">
        <v>132</v>
      </c>
      <c r="C24" s="44">
        <v>188000</v>
      </c>
      <c r="D24" s="44">
        <v>30000</v>
      </c>
      <c r="E24" s="55">
        <f t="shared" si="0"/>
        <v>-158000</v>
      </c>
      <c r="F24" s="56">
        <f t="shared" si="1"/>
        <v>15.957446808510639</v>
      </c>
    </row>
    <row r="25" spans="1:7" ht="16.5" hidden="1" thickBot="1">
      <c r="A25" s="97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95">
        <v>1003</v>
      </c>
      <c r="B26" s="26" t="s">
        <v>134</v>
      </c>
      <c r="C26" s="44">
        <v>0</v>
      </c>
      <c r="D26" s="44">
        <v>0</v>
      </c>
      <c r="E26" s="55">
        <f t="shared" si="0"/>
        <v>0</v>
      </c>
      <c r="F26" s="56" t="e">
        <f t="shared" si="1"/>
        <v>#DIV/0!</v>
      </c>
    </row>
    <row r="27" spans="1:7" ht="16.5" thickBot="1">
      <c r="A27" s="97">
        <v>1100</v>
      </c>
      <c r="B27" s="24" t="s">
        <v>135</v>
      </c>
      <c r="C27" s="43">
        <f>C28+C29</f>
        <v>682580</v>
      </c>
      <c r="D27" s="43">
        <f>D28+D29</f>
        <v>96879.84</v>
      </c>
      <c r="E27" s="55">
        <f t="shared" si="0"/>
        <v>-585700.16</v>
      </c>
      <c r="F27" s="56">
        <f t="shared" si="1"/>
        <v>14.193184681649038</v>
      </c>
    </row>
    <row r="28" spans="1:7" ht="16.5" thickBot="1">
      <c r="A28" s="95">
        <v>1101</v>
      </c>
      <c r="B28" s="26" t="s">
        <v>136</v>
      </c>
      <c r="C28" s="44">
        <v>582580</v>
      </c>
      <c r="D28" s="44">
        <v>96879.84</v>
      </c>
      <c r="E28" s="55">
        <f t="shared" si="0"/>
        <v>-485700.16000000003</v>
      </c>
      <c r="F28" s="56">
        <f t="shared" si="1"/>
        <v>16.629448316111091</v>
      </c>
    </row>
    <row r="29" spans="1:7" ht="16.5" customHeight="1" thickBot="1">
      <c r="A29" s="95">
        <v>1102</v>
      </c>
      <c r="B29" s="26" t="s">
        <v>151</v>
      </c>
      <c r="C29" s="49">
        <v>100000</v>
      </c>
      <c r="D29" s="49">
        <v>0</v>
      </c>
      <c r="E29" s="55">
        <f t="shared" si="0"/>
        <v>-100000</v>
      </c>
      <c r="F29" s="56">
        <f t="shared" si="1"/>
        <v>0</v>
      </c>
    </row>
    <row r="30" spans="1:7" ht="16.5" thickBot="1">
      <c r="A30" s="100">
        <v>1200</v>
      </c>
      <c r="B30" s="104" t="s">
        <v>137</v>
      </c>
      <c r="C30" s="105">
        <v>0</v>
      </c>
      <c r="D30" s="105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102">
        <v>1204</v>
      </c>
      <c r="B31" s="91" t="s">
        <v>150</v>
      </c>
      <c r="C31" s="109">
        <v>70000</v>
      </c>
      <c r="D31" s="111">
        <v>3600</v>
      </c>
      <c r="E31" s="55">
        <f t="shared" ref="E31" si="2">D31-C31</f>
        <v>-66400</v>
      </c>
      <c r="F31" s="56">
        <f t="shared" ref="F31" si="3">D31/C31*100</f>
        <v>5.1428571428571423</v>
      </c>
    </row>
    <row r="32" spans="1:7" ht="23.25" hidden="1" thickBot="1">
      <c r="A32" s="102">
        <v>1300</v>
      </c>
      <c r="B32" s="91" t="s">
        <v>161</v>
      </c>
      <c r="C32" s="103">
        <v>0</v>
      </c>
      <c r="D32" s="110"/>
      <c r="E32" s="55"/>
      <c r="F32" s="56"/>
    </row>
    <row r="33" spans="1:6" ht="23.25" hidden="1" thickBot="1">
      <c r="A33" s="106">
        <v>1301</v>
      </c>
      <c r="B33" s="107" t="s">
        <v>161</v>
      </c>
      <c r="C33" s="108">
        <v>0</v>
      </c>
      <c r="D33" s="108">
        <v>0</v>
      </c>
      <c r="E33" s="55">
        <f t="shared" si="0"/>
        <v>0</v>
      </c>
      <c r="F33" s="56" t="e">
        <f t="shared" si="1"/>
        <v>#DIV/0!</v>
      </c>
    </row>
    <row r="34" spans="1:6" ht="16.5" hidden="1" thickBot="1">
      <c r="A34" s="183" t="s">
        <v>139</v>
      </c>
      <c r="B34" s="101" t="s">
        <v>140</v>
      </c>
      <c r="C34" s="184">
        <f>C36</f>
        <v>0</v>
      </c>
      <c r="D34" s="185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170"/>
      <c r="B35" s="24" t="s">
        <v>141</v>
      </c>
      <c r="C35" s="172"/>
      <c r="D35" s="172"/>
      <c r="E35" s="55">
        <f t="shared" si="0"/>
        <v>0</v>
      </c>
      <c r="F35" s="56"/>
    </row>
    <row r="36" spans="1:6" ht="16.5" hidden="1" thickBot="1">
      <c r="A36" s="165" t="s">
        <v>142</v>
      </c>
      <c r="B36" s="41" t="s">
        <v>143</v>
      </c>
      <c r="C36" s="167">
        <v>0</v>
      </c>
      <c r="D36" s="167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166"/>
      <c r="B37" s="26" t="s">
        <v>144</v>
      </c>
      <c r="C37" s="168"/>
      <c r="D37" s="168"/>
      <c r="E37" s="55">
        <f t="shared" si="0"/>
        <v>0</v>
      </c>
      <c r="F37" s="56"/>
    </row>
    <row r="38" spans="1:6" ht="16.5" thickBot="1">
      <c r="A38" s="97">
        <v>9800</v>
      </c>
      <c r="B38" s="24" t="s">
        <v>145</v>
      </c>
      <c r="C38" s="43">
        <f>C34+C30+C27+C25+C22+C20+C17+C14+C11+C9+C2+C32+C31</f>
        <v>45023234.310000002</v>
      </c>
      <c r="D38" s="43">
        <f>D34+D30+D27+D25+D22+D20+D17+D14+D11+D9+D2+D31</f>
        <v>7802253.3199999994</v>
      </c>
      <c r="E38" s="55">
        <f t="shared" si="0"/>
        <v>-37220980.990000002</v>
      </c>
      <c r="F38" s="56">
        <f t="shared" si="1"/>
        <v>17.329393233455598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01.04.2019</vt:lpstr>
      <vt:lpstr>Расходы на 01.04.2019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2019-11-14T07:10:22Z</cp:lastPrinted>
  <dcterms:created xsi:type="dcterms:W3CDTF">2010-01-27T11:07:58Z</dcterms:created>
  <dcterms:modified xsi:type="dcterms:W3CDTF">2019-11-19T07:54:13Z</dcterms:modified>
</cp:coreProperties>
</file>