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12" activeTab="17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4.2019" sheetId="12" r:id="rId11"/>
    <sheet name="Расходы на 01.04.2019" sheetId="13" r:id="rId12"/>
    <sheet name="Доходы на 01.04.2020" sheetId="14" r:id="rId13"/>
    <sheet name="Расходы на 01.04.2020" sheetId="15" r:id="rId14"/>
    <sheet name="Доходы на 01.07.2020" sheetId="16" r:id="rId15"/>
    <sheet name="Расходы на 01.07.2020" sheetId="17" r:id="rId16"/>
    <sheet name="Доходы на 01.10.2020" sheetId="18" r:id="rId17"/>
    <sheet name="Расходы на 01.10.2020" sheetId="19" r:id="rId18"/>
  </sheets>
  <calcPr calcId="152511"/>
</workbook>
</file>

<file path=xl/calcChain.xml><?xml version="1.0" encoding="utf-8"?>
<calcChain xmlns="http://schemas.openxmlformats.org/spreadsheetml/2006/main">
  <c r="E28" i="19"/>
  <c r="D25"/>
  <c r="D20"/>
  <c r="D19"/>
  <c r="D16"/>
  <c r="D14" s="1"/>
  <c r="D10"/>
  <c r="D9" s="1"/>
  <c r="D8"/>
  <c r="D4"/>
  <c r="D3"/>
  <c r="C25"/>
  <c r="C24" s="1"/>
  <c r="C32"/>
  <c r="C20"/>
  <c r="C19"/>
  <c r="C18" s="1"/>
  <c r="C17"/>
  <c r="C16"/>
  <c r="C13"/>
  <c r="E13" s="1"/>
  <c r="C10"/>
  <c r="C8"/>
  <c r="E40"/>
  <c r="F39"/>
  <c r="E39"/>
  <c r="E38"/>
  <c r="D37"/>
  <c r="C37"/>
  <c r="F36"/>
  <c r="E36"/>
  <c r="F34"/>
  <c r="E34"/>
  <c r="F33"/>
  <c r="E33"/>
  <c r="E32"/>
  <c r="F32"/>
  <c r="F31"/>
  <c r="C31"/>
  <c r="E31" s="1"/>
  <c r="D30"/>
  <c r="F30" s="1"/>
  <c r="C30"/>
  <c r="F29"/>
  <c r="C29"/>
  <c r="E29" s="1"/>
  <c r="F28"/>
  <c r="D27"/>
  <c r="C27"/>
  <c r="E27" s="1"/>
  <c r="E26"/>
  <c r="C23"/>
  <c r="F23" s="1"/>
  <c r="F22"/>
  <c r="E22"/>
  <c r="D21"/>
  <c r="C21"/>
  <c r="E21" s="1"/>
  <c r="E20"/>
  <c r="F15"/>
  <c r="E15"/>
  <c r="F13"/>
  <c r="C12"/>
  <c r="E12" s="1"/>
  <c r="D11"/>
  <c r="C9"/>
  <c r="F7"/>
  <c r="E7"/>
  <c r="E6"/>
  <c r="F5"/>
  <c r="E5"/>
  <c r="C4"/>
  <c r="C3"/>
  <c r="E3" s="1"/>
  <c r="E43" i="18"/>
  <c r="F42"/>
  <c r="F41"/>
  <c r="E41"/>
  <c r="F40"/>
  <c r="E40"/>
  <c r="F39"/>
  <c r="E39"/>
  <c r="F38"/>
  <c r="E38"/>
  <c r="F37"/>
  <c r="E37"/>
  <c r="F36"/>
  <c r="E36"/>
  <c r="F35"/>
  <c r="E35"/>
  <c r="E34" s="1"/>
  <c r="E44" s="1"/>
  <c r="D34"/>
  <c r="D44" s="1"/>
  <c r="F44" s="1"/>
  <c r="C34"/>
  <c r="C44" s="1"/>
  <c r="C33"/>
  <c r="E32"/>
  <c r="E31"/>
  <c r="E30"/>
  <c r="E29"/>
  <c r="F28"/>
  <c r="F27"/>
  <c r="F26"/>
  <c r="F25"/>
  <c r="E25"/>
  <c r="E24"/>
  <c r="E23"/>
  <c r="E22"/>
  <c r="C20"/>
  <c r="F18"/>
  <c r="E18"/>
  <c r="F17"/>
  <c r="E17"/>
  <c r="D15"/>
  <c r="D33" s="1"/>
  <c r="C15"/>
  <c r="F14"/>
  <c r="E14"/>
  <c r="F13"/>
  <c r="F12"/>
  <c r="F11"/>
  <c r="F10"/>
  <c r="F9"/>
  <c r="E9"/>
  <c r="F8"/>
  <c r="F7"/>
  <c r="E7"/>
  <c r="F6"/>
  <c r="E6"/>
  <c r="F5"/>
  <c r="E5"/>
  <c r="F3"/>
  <c r="F28" i="17"/>
  <c r="F29"/>
  <c r="D31"/>
  <c r="F31" s="1"/>
  <c r="D26"/>
  <c r="E26" s="1"/>
  <c r="D25"/>
  <c r="D20"/>
  <c r="D19"/>
  <c r="D16"/>
  <c r="D14" s="1"/>
  <c r="D10"/>
  <c r="D9" s="1"/>
  <c r="D8"/>
  <c r="D4"/>
  <c r="D3"/>
  <c r="C32"/>
  <c r="F32" s="1"/>
  <c r="C31"/>
  <c r="C29"/>
  <c r="C25"/>
  <c r="C19"/>
  <c r="F19" s="1"/>
  <c r="C16"/>
  <c r="C8"/>
  <c r="C4"/>
  <c r="D34" i="16"/>
  <c r="C34"/>
  <c r="C44" s="1"/>
  <c r="E41"/>
  <c r="E37"/>
  <c r="E36"/>
  <c r="F37"/>
  <c r="F36"/>
  <c r="E40" i="17"/>
  <c r="F39"/>
  <c r="E39"/>
  <c r="E38"/>
  <c r="E37"/>
  <c r="D37"/>
  <c r="C37"/>
  <c r="F36"/>
  <c r="E36"/>
  <c r="F34"/>
  <c r="E34"/>
  <c r="F33"/>
  <c r="E33"/>
  <c r="E28"/>
  <c r="D27"/>
  <c r="F27" s="1"/>
  <c r="C27"/>
  <c r="F26"/>
  <c r="C23"/>
  <c r="F23" s="1"/>
  <c r="F22"/>
  <c r="E22"/>
  <c r="D21"/>
  <c r="C17"/>
  <c r="F17" s="1"/>
  <c r="C15"/>
  <c r="F15" s="1"/>
  <c r="C13"/>
  <c r="F13" s="1"/>
  <c r="C12"/>
  <c r="F12" s="1"/>
  <c r="D11"/>
  <c r="C10"/>
  <c r="C9"/>
  <c r="F7"/>
  <c r="E7"/>
  <c r="E6"/>
  <c r="F5"/>
  <c r="E5"/>
  <c r="F3"/>
  <c r="C3"/>
  <c r="E3" s="1"/>
  <c r="E43" i="16"/>
  <c r="F42"/>
  <c r="F41"/>
  <c r="F40"/>
  <c r="E40"/>
  <c r="F39"/>
  <c r="E39"/>
  <c r="F38"/>
  <c r="E38"/>
  <c r="E34" s="1"/>
  <c r="F35"/>
  <c r="E35"/>
  <c r="E32"/>
  <c r="E31"/>
  <c r="E30"/>
  <c r="E29"/>
  <c r="F28"/>
  <c r="F27"/>
  <c r="F26"/>
  <c r="F25"/>
  <c r="E25"/>
  <c r="E24"/>
  <c r="E23"/>
  <c r="E22"/>
  <c r="C20"/>
  <c r="F18"/>
  <c r="E18"/>
  <c r="F17"/>
  <c r="E17"/>
  <c r="D15"/>
  <c r="D33" s="1"/>
  <c r="C15"/>
  <c r="C33" s="1"/>
  <c r="F14"/>
  <c r="E14"/>
  <c r="F13"/>
  <c r="F12"/>
  <c r="F11"/>
  <c r="F10"/>
  <c r="F9"/>
  <c r="E9"/>
  <c r="F8"/>
  <c r="F7"/>
  <c r="E7"/>
  <c r="F6"/>
  <c r="E6"/>
  <c r="F5"/>
  <c r="E5"/>
  <c r="F3"/>
  <c r="E4" i="15"/>
  <c r="E5"/>
  <c r="E6"/>
  <c r="E7"/>
  <c r="E10"/>
  <c r="E12"/>
  <c r="E16"/>
  <c r="E20"/>
  <c r="E22"/>
  <c r="E26"/>
  <c r="E28"/>
  <c r="E31"/>
  <c r="E32"/>
  <c r="E33"/>
  <c r="D30"/>
  <c r="D29" s="1"/>
  <c r="D16"/>
  <c r="D18"/>
  <c r="D21"/>
  <c r="D24"/>
  <c r="E24" s="1"/>
  <c r="F33"/>
  <c r="D25"/>
  <c r="D14"/>
  <c r="D10"/>
  <c r="D8"/>
  <c r="D4"/>
  <c r="D3"/>
  <c r="F3" s="1"/>
  <c r="C20"/>
  <c r="C19"/>
  <c r="E19" s="1"/>
  <c r="C30"/>
  <c r="F30" s="1"/>
  <c r="C25"/>
  <c r="E25" s="1"/>
  <c r="C17"/>
  <c r="E17" s="1"/>
  <c r="C16"/>
  <c r="C15"/>
  <c r="E15" s="1"/>
  <c r="C13"/>
  <c r="E13" s="1"/>
  <c r="C12"/>
  <c r="F12" s="1"/>
  <c r="C10"/>
  <c r="C9" s="1"/>
  <c r="E9" s="1"/>
  <c r="C8"/>
  <c r="E8" s="1"/>
  <c r="C4"/>
  <c r="C3"/>
  <c r="E3" s="1"/>
  <c r="E29" i="14"/>
  <c r="E30"/>
  <c r="E31"/>
  <c r="E32"/>
  <c r="E36"/>
  <c r="E37"/>
  <c r="E38"/>
  <c r="D42"/>
  <c r="D34"/>
  <c r="E6"/>
  <c r="E7"/>
  <c r="E9"/>
  <c r="E13"/>
  <c r="E14"/>
  <c r="E15"/>
  <c r="F12"/>
  <c r="C33"/>
  <c r="C34"/>
  <c r="C42" s="1"/>
  <c r="F39"/>
  <c r="F40"/>
  <c r="F38"/>
  <c r="F36"/>
  <c r="F27"/>
  <c r="F26"/>
  <c r="F11"/>
  <c r="F10"/>
  <c r="F8"/>
  <c r="F7"/>
  <c r="F6"/>
  <c r="E5"/>
  <c r="E33" s="1"/>
  <c r="F5"/>
  <c r="E39" i="15"/>
  <c r="F38"/>
  <c r="E38"/>
  <c r="E37"/>
  <c r="D36"/>
  <c r="F36" s="1"/>
  <c r="C36"/>
  <c r="F35"/>
  <c r="E35"/>
  <c r="F32"/>
  <c r="F31"/>
  <c r="F28"/>
  <c r="D27"/>
  <c r="C27"/>
  <c r="E27" s="1"/>
  <c r="F26"/>
  <c r="C24"/>
  <c r="C23"/>
  <c r="C21" s="1"/>
  <c r="E21" s="1"/>
  <c r="F22"/>
  <c r="F13"/>
  <c r="D11"/>
  <c r="D9"/>
  <c r="F7"/>
  <c r="F5"/>
  <c r="E41" i="14"/>
  <c r="F37"/>
  <c r="F35"/>
  <c r="E35"/>
  <c r="F28"/>
  <c r="F25"/>
  <c r="E25"/>
  <c r="E24"/>
  <c r="E23"/>
  <c r="E22"/>
  <c r="C20"/>
  <c r="F18"/>
  <c r="E18"/>
  <c r="F17"/>
  <c r="E17"/>
  <c r="D15"/>
  <c r="D33" s="1"/>
  <c r="D43" s="1"/>
  <c r="C15"/>
  <c r="F14"/>
  <c r="F13"/>
  <c r="F9"/>
  <c r="F3"/>
  <c r="D24" i="12"/>
  <c r="D7"/>
  <c r="F28"/>
  <c r="D3"/>
  <c r="C3"/>
  <c r="E3" s="1"/>
  <c r="D24" i="13"/>
  <c r="C24"/>
  <c r="C23" s="1"/>
  <c r="F21"/>
  <c r="E21"/>
  <c r="C22"/>
  <c r="C20" s="1"/>
  <c r="D20"/>
  <c r="D19"/>
  <c r="E19" s="1"/>
  <c r="C19"/>
  <c r="C18"/>
  <c r="E18" s="1"/>
  <c r="C16"/>
  <c r="E16" s="1"/>
  <c r="D15"/>
  <c r="D14" s="1"/>
  <c r="C15"/>
  <c r="C14" s="1"/>
  <c r="C13"/>
  <c r="E13" s="1"/>
  <c r="C12"/>
  <c r="F12" s="1"/>
  <c r="D10"/>
  <c r="C10"/>
  <c r="E10" s="1"/>
  <c r="D8"/>
  <c r="C8"/>
  <c r="D4"/>
  <c r="C4"/>
  <c r="F4" s="1"/>
  <c r="D3"/>
  <c r="C3"/>
  <c r="E38"/>
  <c r="F37"/>
  <c r="E37"/>
  <c r="E36"/>
  <c r="E35"/>
  <c r="D35"/>
  <c r="C35"/>
  <c r="F35" s="1"/>
  <c r="F34"/>
  <c r="E34"/>
  <c r="F32"/>
  <c r="E32"/>
  <c r="E31"/>
  <c r="F30"/>
  <c r="E30"/>
  <c r="F29"/>
  <c r="E29"/>
  <c r="D28"/>
  <c r="C28"/>
  <c r="F27"/>
  <c r="E27"/>
  <c r="F26"/>
  <c r="D26"/>
  <c r="E26" s="1"/>
  <c r="C26"/>
  <c r="F25"/>
  <c r="E25"/>
  <c r="F13"/>
  <c r="D11"/>
  <c r="D9"/>
  <c r="C9"/>
  <c r="F7"/>
  <c r="E7"/>
  <c r="E6"/>
  <c r="F5"/>
  <c r="E5"/>
  <c r="E32" i="12"/>
  <c r="E31"/>
  <c r="E30"/>
  <c r="E29"/>
  <c r="E28"/>
  <c r="E27"/>
  <c r="F26"/>
  <c r="E26"/>
  <c r="D25"/>
  <c r="C25"/>
  <c r="E23"/>
  <c r="E22"/>
  <c r="E21"/>
  <c r="E20"/>
  <c r="F19"/>
  <c r="E19"/>
  <c r="F17"/>
  <c r="E17"/>
  <c r="E16"/>
  <c r="E15"/>
  <c r="E14"/>
  <c r="E12" s="1"/>
  <c r="C12"/>
  <c r="F10"/>
  <c r="E10"/>
  <c r="F9"/>
  <c r="E9"/>
  <c r="C7"/>
  <c r="F6"/>
  <c r="E6"/>
  <c r="F5"/>
  <c r="E5"/>
  <c r="F4"/>
  <c r="E4"/>
  <c r="F3"/>
  <c r="D25" i="11"/>
  <c r="C25"/>
  <c r="E28"/>
  <c r="E29"/>
  <c r="F26"/>
  <c r="E26"/>
  <c r="D23" i="10"/>
  <c r="D22" s="1"/>
  <c r="C23"/>
  <c r="D21"/>
  <c r="D20" s="1"/>
  <c r="C21"/>
  <c r="D19"/>
  <c r="D17" s="1"/>
  <c r="C19"/>
  <c r="D18"/>
  <c r="C18"/>
  <c r="D16"/>
  <c r="E16" s="1"/>
  <c r="C16"/>
  <c r="D15"/>
  <c r="C15"/>
  <c r="C13"/>
  <c r="E13" s="1"/>
  <c r="C12"/>
  <c r="F12" s="1"/>
  <c r="D10"/>
  <c r="F10" s="1"/>
  <c r="C10"/>
  <c r="D8"/>
  <c r="C8"/>
  <c r="E6"/>
  <c r="D4"/>
  <c r="C4"/>
  <c r="D3"/>
  <c r="C3"/>
  <c r="F30" i="11"/>
  <c r="E30"/>
  <c r="D4"/>
  <c r="F4" s="1"/>
  <c r="D3"/>
  <c r="C3"/>
  <c r="C2" i="10"/>
  <c r="F32" i="11"/>
  <c r="E32"/>
  <c r="F31"/>
  <c r="E31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C12"/>
  <c r="F12" s="1"/>
  <c r="F11"/>
  <c r="E11"/>
  <c r="F10"/>
  <c r="E10"/>
  <c r="F9"/>
  <c r="E9"/>
  <c r="D7"/>
  <c r="C7"/>
  <c r="F6"/>
  <c r="E6"/>
  <c r="E5"/>
  <c r="F5"/>
  <c r="F31" i="10"/>
  <c r="E31"/>
  <c r="E37"/>
  <c r="F36"/>
  <c r="E36"/>
  <c r="E35"/>
  <c r="D34"/>
  <c r="C34"/>
  <c r="F33"/>
  <c r="E33"/>
  <c r="F29"/>
  <c r="E29"/>
  <c r="F28"/>
  <c r="E28"/>
  <c r="D27"/>
  <c r="C27"/>
  <c r="F26"/>
  <c r="E26"/>
  <c r="D25"/>
  <c r="C25"/>
  <c r="F24"/>
  <c r="E24"/>
  <c r="C22"/>
  <c r="E21"/>
  <c r="C20"/>
  <c r="C17"/>
  <c r="E15"/>
  <c r="E12"/>
  <c r="D11"/>
  <c r="C9"/>
  <c r="F7"/>
  <c r="E7"/>
  <c r="F5"/>
  <c r="E5"/>
  <c r="D4" i="8"/>
  <c r="D3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D25" i="7"/>
  <c r="F25" s="1"/>
  <c r="C25"/>
  <c r="D3"/>
  <c r="F3" s="1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2"/>
  <c r="E33"/>
  <c r="E34"/>
  <c r="D25"/>
  <c r="C25"/>
  <c r="E25" s="1"/>
  <c r="F27"/>
  <c r="C3"/>
  <c r="C2" s="1"/>
  <c r="D31"/>
  <c r="E31" s="1"/>
  <c r="D28"/>
  <c r="E28" s="1"/>
  <c r="C28"/>
  <c r="F30"/>
  <c r="D25" i="3"/>
  <c r="C25"/>
  <c r="D9"/>
  <c r="D4"/>
  <c r="E4" s="1"/>
  <c r="D3"/>
  <c r="E3" s="1"/>
  <c r="D5"/>
  <c r="C6"/>
  <c r="D8"/>
  <c r="D6" s="1"/>
  <c r="D23" s="1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9"/>
  <c r="E6" s="1"/>
  <c r="E8"/>
  <c r="E5"/>
  <c r="F33" i="6"/>
  <c r="C31"/>
  <c r="F29"/>
  <c r="F26"/>
  <c r="F24"/>
  <c r="D23"/>
  <c r="C23"/>
  <c r="E23" s="1"/>
  <c r="F22"/>
  <c r="F21"/>
  <c r="D20"/>
  <c r="C20"/>
  <c r="F19"/>
  <c r="C18"/>
  <c r="E18" s="1"/>
  <c r="F17"/>
  <c r="F16"/>
  <c r="D15"/>
  <c r="C15"/>
  <c r="E15" s="1"/>
  <c r="F14"/>
  <c r="F13"/>
  <c r="D12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9"/>
  <c r="F8"/>
  <c r="F5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C27"/>
  <c r="F27" s="1"/>
  <c r="E26"/>
  <c r="D25"/>
  <c r="C25"/>
  <c r="E24"/>
  <c r="D23"/>
  <c r="C23"/>
  <c r="C20"/>
  <c r="E21"/>
  <c r="E22"/>
  <c r="C18"/>
  <c r="E18" s="1"/>
  <c r="E19"/>
  <c r="E16"/>
  <c r="E17"/>
  <c r="D15"/>
  <c r="F15" s="1"/>
  <c r="C15"/>
  <c r="E13"/>
  <c r="E14"/>
  <c r="D12"/>
  <c r="C12"/>
  <c r="D9"/>
  <c r="E3"/>
  <c r="E4"/>
  <c r="E5"/>
  <c r="E6"/>
  <c r="E8"/>
  <c r="E10"/>
  <c r="E11"/>
  <c r="C9"/>
  <c r="E9" s="1"/>
  <c r="D7"/>
  <c r="C7"/>
  <c r="D2"/>
  <c r="C2"/>
  <c r="F2" s="1"/>
  <c r="F28"/>
  <c r="F31"/>
  <c r="F20"/>
  <c r="F21"/>
  <c r="F22"/>
  <c r="F24"/>
  <c r="F26"/>
  <c r="F13"/>
  <c r="F14"/>
  <c r="F16"/>
  <c r="F17"/>
  <c r="F18"/>
  <c r="F19"/>
  <c r="F10"/>
  <c r="F11"/>
  <c r="F5"/>
  <c r="F6"/>
  <c r="F8"/>
  <c r="F4"/>
  <c r="C26" i="4"/>
  <c r="D26"/>
  <c r="F3" i="5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F28"/>
  <c r="G28" s="1"/>
  <c r="F24"/>
  <c r="J24" s="1"/>
  <c r="F23"/>
  <c r="J23" s="1"/>
  <c r="F21"/>
  <c r="J21" s="1"/>
  <c r="F20"/>
  <c r="J20" s="1"/>
  <c r="F17"/>
  <c r="H17" s="1"/>
  <c r="F15"/>
  <c r="J15" s="1"/>
  <c r="F14"/>
  <c r="J14" s="1"/>
  <c r="F10"/>
  <c r="J10" s="1"/>
  <c r="F9"/>
  <c r="J9" s="1"/>
  <c r="F6"/>
  <c r="F5"/>
  <c r="G5" s="1"/>
  <c r="I28"/>
  <c r="D22"/>
  <c r="D8"/>
  <c r="D6"/>
  <c r="D5"/>
  <c r="I30"/>
  <c r="H30"/>
  <c r="G30"/>
  <c r="I29"/>
  <c r="H29"/>
  <c r="G29"/>
  <c r="H27"/>
  <c r="I26"/>
  <c r="H26"/>
  <c r="G26"/>
  <c r="H25"/>
  <c r="G25"/>
  <c r="I24"/>
  <c r="I23"/>
  <c r="E22"/>
  <c r="I22" s="1"/>
  <c r="I21"/>
  <c r="G21"/>
  <c r="I20"/>
  <c r="I19"/>
  <c r="G19"/>
  <c r="I18"/>
  <c r="H18"/>
  <c r="G18"/>
  <c r="I17"/>
  <c r="I16"/>
  <c r="H16"/>
  <c r="G16"/>
  <c r="I15"/>
  <c r="G15"/>
  <c r="I14"/>
  <c r="I13"/>
  <c r="H13"/>
  <c r="G13"/>
  <c r="I12"/>
  <c r="H12"/>
  <c r="G12"/>
  <c r="I11"/>
  <c r="H11"/>
  <c r="G11"/>
  <c r="I10"/>
  <c r="I9"/>
  <c r="E8"/>
  <c r="I7"/>
  <c r="G7"/>
  <c r="I6"/>
  <c r="I5"/>
  <c r="H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H8" i="1"/>
  <c r="D2" i="8" l="1"/>
  <c r="E34" i="14"/>
  <c r="E42" s="1"/>
  <c r="D2" i="15"/>
  <c r="G17" i="2"/>
  <c r="G10" i="1"/>
  <c r="F22" i="2"/>
  <c r="D31"/>
  <c r="J31" s="1"/>
  <c r="F26" i="4"/>
  <c r="E2" i="5"/>
  <c r="E12"/>
  <c r="E20"/>
  <c r="F25"/>
  <c r="E27"/>
  <c r="F3" i="3"/>
  <c r="F10"/>
  <c r="E12" i="6"/>
  <c r="E11" i="3"/>
  <c r="E25"/>
  <c r="E25" i="7"/>
  <c r="E4" i="8"/>
  <c r="F20" i="10"/>
  <c r="D2"/>
  <c r="E18"/>
  <c r="C24" i="12"/>
  <c r="F24" s="1"/>
  <c r="E9" i="13"/>
  <c r="F16"/>
  <c r="C17"/>
  <c r="F17" i="15"/>
  <c r="F23"/>
  <c r="F27"/>
  <c r="E36"/>
  <c r="C14"/>
  <c r="E14" s="1"/>
  <c r="C29"/>
  <c r="E29" s="1"/>
  <c r="E23"/>
  <c r="E15" i="17"/>
  <c r="E27"/>
  <c r="F21" i="19"/>
  <c r="E23"/>
  <c r="F27"/>
  <c r="E30"/>
  <c r="E37"/>
  <c r="F3"/>
  <c r="C35" i="6"/>
  <c r="C2" i="13"/>
  <c r="C39" s="1"/>
  <c r="E10" i="17"/>
  <c r="F4" i="19"/>
  <c r="F8" i="2"/>
  <c r="J8" s="1"/>
  <c r="J27"/>
  <c r="D14" i="10"/>
  <c r="D9"/>
  <c r="E7" i="12"/>
  <c r="F22" i="13"/>
  <c r="E30" i="15"/>
  <c r="E20" i="18"/>
  <c r="G24" i="2"/>
  <c r="H9"/>
  <c r="H14"/>
  <c r="H24"/>
  <c r="J6"/>
  <c r="F7" i="5"/>
  <c r="E23"/>
  <c r="E20" i="6"/>
  <c r="F21" i="10"/>
  <c r="F8"/>
  <c r="F16"/>
  <c r="E8" i="13"/>
  <c r="E3"/>
  <c r="C2" i="15"/>
  <c r="E2" s="1"/>
  <c r="C11" i="17"/>
  <c r="E11" s="1"/>
  <c r="E13"/>
  <c r="E23"/>
  <c r="F37"/>
  <c r="E16"/>
  <c r="D18"/>
  <c r="C14" i="19"/>
  <c r="E14" s="1"/>
  <c r="E8"/>
  <c r="E19"/>
  <c r="E16"/>
  <c r="E10"/>
  <c r="E9"/>
  <c r="D2"/>
  <c r="E4"/>
  <c r="E25"/>
  <c r="F17"/>
  <c r="E17"/>
  <c r="F16"/>
  <c r="F14"/>
  <c r="C11"/>
  <c r="E11" s="1"/>
  <c r="E15" i="18"/>
  <c r="E33"/>
  <c r="E45" s="1"/>
  <c r="C2" i="19"/>
  <c r="F8"/>
  <c r="F9"/>
  <c r="F10"/>
  <c r="F11"/>
  <c r="F19"/>
  <c r="F25"/>
  <c r="F37"/>
  <c r="F12"/>
  <c r="F20"/>
  <c r="F26"/>
  <c r="D18"/>
  <c r="F18" s="1"/>
  <c r="D24"/>
  <c r="F24" s="1"/>
  <c r="C45" i="18"/>
  <c r="D45"/>
  <c r="F33"/>
  <c r="F34"/>
  <c r="F15"/>
  <c r="D30" i="17"/>
  <c r="E31"/>
  <c r="D24"/>
  <c r="E25"/>
  <c r="F20"/>
  <c r="E20"/>
  <c r="E9"/>
  <c r="D2"/>
  <c r="E8"/>
  <c r="E4"/>
  <c r="E32"/>
  <c r="C30"/>
  <c r="C24"/>
  <c r="F25"/>
  <c r="E19"/>
  <c r="F4"/>
  <c r="F34" i="16"/>
  <c r="E44"/>
  <c r="E20"/>
  <c r="D44"/>
  <c r="F44" s="1"/>
  <c r="E15"/>
  <c r="E33" s="1"/>
  <c r="E45" s="1"/>
  <c r="C2" i="17"/>
  <c r="F8"/>
  <c r="F10"/>
  <c r="C18"/>
  <c r="E12"/>
  <c r="E17"/>
  <c r="C21"/>
  <c r="F9"/>
  <c r="F11"/>
  <c r="F16"/>
  <c r="C14"/>
  <c r="E14" s="1"/>
  <c r="C45" i="16"/>
  <c r="F33"/>
  <c r="F15"/>
  <c r="D40" i="15"/>
  <c r="C18"/>
  <c r="F16"/>
  <c r="C11"/>
  <c r="E11" s="1"/>
  <c r="F4"/>
  <c r="E43" i="14"/>
  <c r="C43"/>
  <c r="E20"/>
  <c r="F24" i="15"/>
  <c r="F25"/>
  <c r="F8"/>
  <c r="F9"/>
  <c r="F10"/>
  <c r="F19"/>
  <c r="F20"/>
  <c r="F21"/>
  <c r="F34" i="14"/>
  <c r="F15"/>
  <c r="E25" i="12"/>
  <c r="C33"/>
  <c r="C34" s="1"/>
  <c r="F25"/>
  <c r="E28" i="13"/>
  <c r="E24"/>
  <c r="E22"/>
  <c r="E20"/>
  <c r="F20"/>
  <c r="F19"/>
  <c r="F18"/>
  <c r="F14"/>
  <c r="E14"/>
  <c r="F15"/>
  <c r="E15"/>
  <c r="C11"/>
  <c r="E11" s="1"/>
  <c r="E12"/>
  <c r="E4"/>
  <c r="F3"/>
  <c r="D2"/>
  <c r="D23"/>
  <c r="F8"/>
  <c r="F9"/>
  <c r="F10"/>
  <c r="D17"/>
  <c r="F24"/>
  <c r="F28"/>
  <c r="D33" i="12"/>
  <c r="E24"/>
  <c r="F7"/>
  <c r="F27" i="11"/>
  <c r="E27"/>
  <c r="D24"/>
  <c r="D33" s="1"/>
  <c r="E12"/>
  <c r="F3"/>
  <c r="E7"/>
  <c r="F25"/>
  <c r="D38" i="10"/>
  <c r="G17" s="1"/>
  <c r="F23"/>
  <c r="E19"/>
  <c r="F19"/>
  <c r="F18"/>
  <c r="F15"/>
  <c r="C14"/>
  <c r="F14" s="1"/>
  <c r="F13"/>
  <c r="C11"/>
  <c r="F11" s="1"/>
  <c r="F4"/>
  <c r="F3"/>
  <c r="E25" i="11"/>
  <c r="E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24" i="11"/>
  <c r="C33" s="1"/>
  <c r="C34" s="1"/>
  <c r="H8" i="2"/>
  <c r="G6" i="1"/>
  <c r="F29" i="5"/>
  <c r="E3" i="6"/>
  <c r="G27" i="2"/>
  <c r="G20"/>
  <c r="G6"/>
  <c r="G17" i="1"/>
  <c r="D30"/>
  <c r="E22"/>
  <c r="G22" s="1"/>
  <c r="H15" i="2"/>
  <c r="H20"/>
  <c r="J5"/>
  <c r="F12" i="5"/>
  <c r="F23"/>
  <c r="F6" i="3"/>
  <c r="C2" i="8"/>
  <c r="E4" i="11"/>
  <c r="F7"/>
  <c r="F30" i="10"/>
  <c r="F25"/>
  <c r="F27"/>
  <c r="F9"/>
  <c r="F2"/>
  <c r="E2"/>
  <c r="E3"/>
  <c r="E4"/>
  <c r="E8"/>
  <c r="E9"/>
  <c r="E10"/>
  <c r="E17"/>
  <c r="F17"/>
  <c r="E20"/>
  <c r="E22"/>
  <c r="F22"/>
  <c r="E23"/>
  <c r="E25"/>
  <c r="E27"/>
  <c r="E30"/>
  <c r="E34"/>
  <c r="F34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6"/>
  <c r="C23"/>
  <c r="C26" s="1"/>
  <c r="C27" s="1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J28"/>
  <c r="E29" i="5"/>
  <c r="G15" l="1"/>
  <c r="C36" i="8"/>
  <c r="C40" i="15"/>
  <c r="E18"/>
  <c r="E40" s="1"/>
  <c r="F2" i="19"/>
  <c r="J22" i="2"/>
  <c r="G22"/>
  <c r="G31" s="1"/>
  <c r="F23" i="7"/>
  <c r="D26"/>
  <c r="F22" i="1"/>
  <c r="E30" i="17"/>
  <c r="D41"/>
  <c r="E18" i="19"/>
  <c r="E24"/>
  <c r="E2"/>
  <c r="C41"/>
  <c r="D41"/>
  <c r="F45" i="18"/>
  <c r="E18" i="17"/>
  <c r="C41"/>
  <c r="F41" s="1"/>
  <c r="E24"/>
  <c r="F2"/>
  <c r="F30"/>
  <c r="F24"/>
  <c r="F14"/>
  <c r="D45" i="16"/>
  <c r="F45" s="1"/>
  <c r="E21" i="17"/>
  <c r="F21"/>
  <c r="E2"/>
  <c r="F18"/>
  <c r="F29" i="15"/>
  <c r="F11"/>
  <c r="F33" i="14"/>
  <c r="F18" i="15"/>
  <c r="F2"/>
  <c r="F43" i="14"/>
  <c r="F42"/>
  <c r="E33" i="12"/>
  <c r="E34" s="1"/>
  <c r="F11" i="13"/>
  <c r="D39"/>
  <c r="E39" s="1"/>
  <c r="E17"/>
  <c r="F17"/>
  <c r="F2"/>
  <c r="E2"/>
  <c r="F23"/>
  <c r="E23"/>
  <c r="D34" i="12"/>
  <c r="F34" s="1"/>
  <c r="F33"/>
  <c r="E24" i="11"/>
  <c r="E33" s="1"/>
  <c r="E34" s="1"/>
  <c r="C38" i="10"/>
  <c r="E38" s="1"/>
  <c r="E11"/>
  <c r="E14"/>
  <c r="E33" i="5"/>
  <c r="F21" i="8"/>
  <c r="F35" i="6"/>
  <c r="E35"/>
  <c r="G20"/>
  <c r="G8" i="1"/>
  <c r="F8"/>
  <c r="E30"/>
  <c r="E36" i="8"/>
  <c r="G15" i="6"/>
  <c r="F36" i="8"/>
  <c r="F23" i="3"/>
  <c r="F24" i="11"/>
  <c r="D34"/>
  <c r="F34" s="1"/>
  <c r="F33"/>
  <c r="G22" i="10"/>
  <c r="G21" i="8"/>
  <c r="D27" i="7"/>
  <c r="F27" s="1"/>
  <c r="F26"/>
  <c r="E6"/>
  <c r="E23"/>
  <c r="E26" s="1"/>
  <c r="E27" s="1"/>
  <c r="F26" i="3"/>
  <c r="C27"/>
  <c r="E41" i="17" l="1"/>
  <c r="E41" i="19"/>
  <c r="F41"/>
  <c r="F39" i="13"/>
  <c r="F38" i="10"/>
  <c r="F30" i="1"/>
  <c r="G30"/>
  <c r="F27" i="3"/>
  <c r="F14" i="15"/>
  <c r="F40"/>
</calcChain>
</file>

<file path=xl/sharedStrings.xml><?xml version="1.0" encoding="utf-8"?>
<sst xmlns="http://schemas.openxmlformats.org/spreadsheetml/2006/main" count="1041" uniqueCount="213">
  <si>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</si>
  <si>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</si>
  <si>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</si>
  <si>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</si>
  <si>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</si>
  <si>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</si>
  <si>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</si>
  <si>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</si>
  <si>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</si>
  <si>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</si>
  <si>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</si>
  <si>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</si>
  <si>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</si>
  <si>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</si>
  <si>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</si>
  <si>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</si>
  <si>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</si>
  <si>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</si>
  <si>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</si>
  <si>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</si>
  <si>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</si>
  <si>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</si>
  <si>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</si>
  <si>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</si>
  <si>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</si>
  <si>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</si>
  <si>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</si>
  <si>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</si>
  <si>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</si>
  <si>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</si>
  <si>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</si>
  <si>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</si>
  <si>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</si>
  <si>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</si>
  <si>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</si>
  <si>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</si>
  <si>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</si>
  <si>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</si>
  <si>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</si>
  <si>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</si>
  <si>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</si>
  <si>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</si>
  <si>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</si>
  <si>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</si>
  <si>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</si>
  <si>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</si>
  <si>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</si>
  <si>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</si>
  <si>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</si>
  <si>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</si>
  <si>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</si>
  <si>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</si>
  <si>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</si>
  <si>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</si>
  <si>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</si>
  <si>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</si>
  <si>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</si>
  <si>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</si>
  <si>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</si>
  <si>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</si>
  <si>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</si>
  <si>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</si>
  <si>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</si>
  <si>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</si>
  <si>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</si>
  <si>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</si>
  <si>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</si>
  <si>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</si>
  <si>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</si>
  <si>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</si>
  <si>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</si>
  <si>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</si>
  <si>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</si>
  <si>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</si>
  <si>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</si>
  <si>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</si>
  <si>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</si>
  <si>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</si>
  <si>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</si>
  <si>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</si>
  <si>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</si>
  <si>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</si>
  <si>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</si>
  <si>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</si>
  <si>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</si>
  <si>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</si>
  <si>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</si>
  <si>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</si>
  <si>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</si>
  <si>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</si>
  <si>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</si>
  <si>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</si>
  <si>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</si>
  <si>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</si>
  <si>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</si>
  <si>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</si>
  <si>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</si>
  <si>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</si>
  <si>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</si>
  <si>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</si>
  <si>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</si>
  <si>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</si>
  <si>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</si>
  <si>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</si>
  <si>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</si>
  <si>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</si>
  <si>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</si>
  <si>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</si>
  <si>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</si>
  <si>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</si>
  <si>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</si>
  <si>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</si>
  <si>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</si>
  <si>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</si>
  <si>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</si>
  <si>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</si>
  <si>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</si>
  <si>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</si>
  <si>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</si>
  <si>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</si>
  <si>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</si>
  <si>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</si>
  <si>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</si>
  <si>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</si>
  <si>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</si>
  <si>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</si>
  <si>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</si>
  <si>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</si>
  <si>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</si>
  <si>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</si>
  <si>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</si>
  <si>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</si>
  <si>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</si>
  <si>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</si>
  <si>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</si>
  <si>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</si>
  <si>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</si>
  <si>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</si>
  <si>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</si>
  <si>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</si>
  <si>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</si>
  <si>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</si>
  <si>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</si>
  <si>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</si>
  <si>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</si>
  <si>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</si>
  <si>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</si>
  <si>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</si>
  <si>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</si>
  <si>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</si>
  <si>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</si>
  <si>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</si>
  <si>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</si>
  <si>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</si>
  <si>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</si>
  <si>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</si>
  <si>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</si>
  <si>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</si>
  <si>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</si>
  <si>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</si>
  <si>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</si>
  <si>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</si>
  <si>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</si>
  <si>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</si>
  <si>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2 02 04000 00 0000 151</t>
  </si>
  <si>
    <t>2 02 15001 10 0000 151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</si>
  <si>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</si>
  <si>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</si>
  <si>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</si>
  <si>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</si>
  <si>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</si>
  <si>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</si>
  <si>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Дотации бюджетам сельских поселений на поддержку мер по обеспечению сбалансированности бюджетов</t>
  </si>
  <si>
    <t>Обучение</t>
  </si>
  <si>
    <t>1 14 02053 10 0000 410</t>
  </si>
  <si>
    <t>Дохлды от уплаты акцизов на дизельное топливо, подлежащее распределению между бюджетами субъктов Российской Федерации и местными бюджетами с учетом установленных дефферинцированных нормативов отчислений в местные бюжеты (по нормативаим,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</si>
  <si>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</si>
  <si>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</si>
  <si>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(инженерных) двигателей,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</si>
  <si>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</si>
  <si>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</si>
  <si>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</si>
  <si>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</si>
  <si>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1  03 02230 01 0000 110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</si>
  <si>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</si>
  <si>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РФ.</t>
  </si>
  <si>
    <t>1 01 02030 01 0000 110</t>
  </si>
  <si>
    <t>Налог на доходы физических лиц с доходов, полученных физическими лицами в соответствии со ст. 228 НК РФ</t>
  </si>
  <si>
    <t>1 05 03010 01 0000 110</t>
  </si>
  <si>
    <t>-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</si>
  <si>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</si>
  <si>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</si>
  <si>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1 16 07090 10 0000 140</t>
  </si>
  <si>
    <t>Иные штрафы , неустойки, пени,,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учреждением) сельсого поселения.</t>
  </si>
  <si>
    <t>2 02 00000 10 0000 150</t>
  </si>
  <si>
    <t>Дотации бюджетам сельских поселений на выравнивание бюджетной обеспеченности из бюджета субъекта РФ</t>
  </si>
  <si>
    <t>2 02 15001 10 0000 150</t>
  </si>
  <si>
    <t>2 02 29999 10 0000 150</t>
  </si>
  <si>
    <t>2 02 30024 10 0000 150</t>
  </si>
  <si>
    <t>2 02 35118 10 0000 150</t>
  </si>
  <si>
    <t>2 07 05030 10 0000 150</t>
  </si>
  <si>
    <t>Земельный налог, всего, в том числе:</t>
  </si>
  <si>
    <t>Безвозмездные поступления, в том числе:</t>
  </si>
  <si>
    <t>1 01 02040 01 0000 110</t>
  </si>
  <si>
    <t>Налог на доходы физических лиц в виде фиксированных авансовых патежей с доходов, полученных физическими лицами, являющимися иностранными гражданами, осуществляющимми трудовую деятельность по найму на основании патента в соответствии со ст.227.1 НК РФ.</t>
  </si>
  <si>
    <t>Фонд оплаты труда государственных (муниципальнгых) органов</t>
  </si>
  <si>
    <t>Обслуживание муниципального долга</t>
  </si>
  <si>
    <t>2 0219999 10 0000 150</t>
  </si>
  <si>
    <t>Прочие дотации бюджетам сельских поселений</t>
  </si>
  <si>
    <t>2 02 20077 10 0000 150</t>
  </si>
  <si>
    <t>Субсидии бюджетам сельских поселений на софинансирование капитальных вложений в объекты мунгиципальной собственности</t>
  </si>
  <si>
    <t>2 02 049999 10 0000 150</t>
  </si>
  <si>
    <t>Иные пенсии, социальные доплаты к пенсиям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</si>
</sst>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00_р_._-;\-* #,##0.0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67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justify" vertical="top" wrapText="1"/>
    </xf>
    <xf numFmtId="4" fontId="17" fillId="4" borderId="9" xfId="0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wrapText="1"/>
    </xf>
    <xf numFmtId="0" fontId="0" fillId="4" borderId="0" xfId="0" applyFont="1" applyFill="1"/>
    <xf numFmtId="0" fontId="14" fillId="4" borderId="2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justify" vertical="top" wrapText="1"/>
    </xf>
    <xf numFmtId="4" fontId="17" fillId="4" borderId="6" xfId="0" applyNumberFormat="1" applyFont="1" applyFill="1" applyBorder="1" applyAlignment="1">
      <alignment horizontal="right"/>
    </xf>
    <xf numFmtId="164" fontId="4" fillId="4" borderId="10" xfId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/>
    <xf numFmtId="0" fontId="10" fillId="4" borderId="6" xfId="0" applyFont="1" applyFill="1" applyBorder="1" applyAlignment="1">
      <alignment horizontal="left" wrapText="1"/>
    </xf>
    <xf numFmtId="2" fontId="0" fillId="4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10" xfId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wrapText="1"/>
    </xf>
    <xf numFmtId="164" fontId="4" fillId="5" borderId="10" xfId="1" applyFont="1" applyFill="1" applyBorder="1" applyAlignment="1">
      <alignment horizontal="right"/>
    </xf>
    <xf numFmtId="2" fontId="0" fillId="5" borderId="1" xfId="0" applyNumberFormat="1" applyFill="1" applyBorder="1" applyAlignment="1">
      <alignment wrapText="1"/>
    </xf>
    <xf numFmtId="0" fontId="0" fillId="5" borderId="0" xfId="0" applyFill="1"/>
    <xf numFmtId="0" fontId="11" fillId="5" borderId="6" xfId="0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4" fontId="4" fillId="5" borderId="6" xfId="1" applyFont="1" applyFill="1" applyBorder="1" applyAlignment="1">
      <alignment horizontal="center" wrapText="1"/>
    </xf>
    <xf numFmtId="164" fontId="4" fillId="2" borderId="6" xfId="1" applyNumberFormat="1" applyFont="1" applyFill="1" applyBorder="1" applyAlignment="1">
      <alignment horizontal="center"/>
    </xf>
    <xf numFmtId="164" fontId="4" fillId="0" borderId="1" xfId="1" applyFont="1" applyBorder="1" applyAlignment="1">
      <alignment horizontal="right"/>
    </xf>
    <xf numFmtId="0" fontId="2" fillId="2" borderId="2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164" fontId="2" fillId="2" borderId="24" xfId="1" applyFont="1" applyFill="1" applyBorder="1" applyAlignment="1">
      <alignment horizontal="right" vertical="top"/>
    </xf>
    <xf numFmtId="164" fontId="0" fillId="0" borderId="23" xfId="1" applyFont="1" applyBorder="1"/>
    <xf numFmtId="0" fontId="2" fillId="2" borderId="20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left" vertical="top" wrapText="1"/>
    </xf>
    <xf numFmtId="164" fontId="0" fillId="0" borderId="20" xfId="1" applyFont="1" applyBorder="1"/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0" fillId="0" borderId="1" xfId="0" applyFont="1" applyBorder="1"/>
    <xf numFmtId="164" fontId="17" fillId="0" borderId="1" xfId="1" applyFont="1" applyBorder="1"/>
    <xf numFmtId="164" fontId="2" fillId="2" borderId="7" xfId="1" applyFont="1" applyFill="1" applyBorder="1" applyAlignment="1">
      <alignment horizontal="right" vertical="top"/>
    </xf>
    <xf numFmtId="164" fontId="2" fillId="2" borderId="19" xfId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/>
    </xf>
    <xf numFmtId="164" fontId="4" fillId="0" borderId="6" xfId="1" applyFont="1" applyFill="1" applyBorder="1" applyAlignment="1">
      <alignment horizontal="right"/>
    </xf>
    <xf numFmtId="164" fontId="4" fillId="0" borderId="10" xfId="1" applyFont="1" applyFill="1" applyBorder="1" applyAlignment="1">
      <alignment horizontal="right"/>
    </xf>
    <xf numFmtId="2" fontId="0" fillId="0" borderId="1" xfId="0" applyNumberFormat="1" applyFill="1" applyBorder="1" applyAlignment="1">
      <alignment wrapText="1"/>
    </xf>
    <xf numFmtId="0" fontId="0" fillId="0" borderId="0" xfId="0" applyFill="1"/>
    <xf numFmtId="0" fontId="10" fillId="0" borderId="1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right"/>
    </xf>
    <xf numFmtId="164" fontId="4" fillId="0" borderId="7" xfId="1" applyFont="1" applyFill="1" applyBorder="1" applyAlignment="1">
      <alignment horizontal="right"/>
    </xf>
    <xf numFmtId="2" fontId="0" fillId="0" borderId="23" xfId="0" applyNumberForma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164" fontId="4" fillId="0" borderId="1" xfId="1" applyFont="1" applyFill="1" applyBorder="1" applyAlignment="1"/>
    <xf numFmtId="0" fontId="10" fillId="0" borderId="2" xfId="0" applyFont="1" applyFill="1" applyBorder="1" applyAlignment="1">
      <alignment wrapText="1"/>
    </xf>
    <xf numFmtId="164" fontId="4" fillId="0" borderId="2" xfId="1" applyNumberFormat="1" applyFont="1" applyFill="1" applyBorder="1" applyAlignment="1"/>
    <xf numFmtId="164" fontId="4" fillId="0" borderId="2" xfId="1" applyFont="1" applyFill="1" applyBorder="1" applyAlignment="1"/>
    <xf numFmtId="2" fontId="0" fillId="0" borderId="16" xfId="0" applyNumberFormat="1" applyFill="1" applyBorder="1" applyAlignment="1">
      <alignment wrapText="1"/>
    </xf>
    <xf numFmtId="0" fontId="10" fillId="0" borderId="6" xfId="0" applyFont="1" applyFill="1" applyBorder="1" applyAlignment="1">
      <alignment horizontal="left" vertical="top" wrapText="1"/>
    </xf>
    <xf numFmtId="164" fontId="2" fillId="0" borderId="6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/>
    </xf>
    <xf numFmtId="164" fontId="2" fillId="0" borderId="10" xfId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top" wrapText="1"/>
    </xf>
    <xf numFmtId="4" fontId="17" fillId="0" borderId="9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justify" vertical="top" wrapText="1"/>
    </xf>
    <xf numFmtId="4" fontId="17" fillId="0" borderId="6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wrapText="1"/>
    </xf>
    <xf numFmtId="4" fontId="17" fillId="0" borderId="6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6" fontId="4" fillId="0" borderId="6" xfId="1" applyNumberFormat="1" applyFont="1" applyFill="1" applyBorder="1" applyAlignment="1">
      <alignment horizontal="right"/>
    </xf>
    <xf numFmtId="0" fontId="0" fillId="0" borderId="0" xfId="0" applyBorder="1"/>
    <xf numFmtId="164" fontId="2" fillId="4" borderId="10" xfId="1" applyFont="1" applyFill="1" applyBorder="1" applyAlignment="1">
      <alignment horizontal="center" vertical="top"/>
    </xf>
    <xf numFmtId="164" fontId="4" fillId="4" borderId="10" xfId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wrapText="1"/>
    </xf>
    <xf numFmtId="2" fontId="18" fillId="0" borderId="23" xfId="0" applyNumberFormat="1" applyFont="1" applyFill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164" fontId="4" fillId="0" borderId="19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228" t="s">
        <v>52</v>
      </c>
      <c r="B2" s="228"/>
      <c r="C2" s="228"/>
      <c r="D2" s="228"/>
      <c r="E2" s="228"/>
      <c r="F2" s="228"/>
      <c r="G2" s="228"/>
      <c r="H2" s="228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229" t="s">
        <v>38</v>
      </c>
      <c r="B32" s="229"/>
      <c r="C32" s="229"/>
      <c r="D32" s="14"/>
      <c r="E32" s="230" t="s">
        <v>39</v>
      </c>
      <c r="F32" s="230"/>
      <c r="G32" s="230"/>
      <c r="H32" s="230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22"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ht="41.25" customHeight="1" thickBot="1">
      <c r="A3" s="115" t="s">
        <v>153</v>
      </c>
      <c r="B3" s="119" t="s">
        <v>162</v>
      </c>
      <c r="C3" s="98">
        <f>2300000+23000+2967500</f>
        <v>5290500</v>
      </c>
      <c r="D3" s="99">
        <f>563939.49+3801.71+918644.17-117491.91</f>
        <v>1368893.4600000002</v>
      </c>
      <c r="E3" s="59">
        <f>C3-D3</f>
        <v>3921606.54</v>
      </c>
      <c r="F3" s="65">
        <f>D3/C3*100</f>
        <v>25.874557414233063</v>
      </c>
    </row>
    <row r="4" spans="1:6" ht="38.25" customHeight="1" thickBot="1">
      <c r="A4" s="114" t="s">
        <v>71</v>
      </c>
      <c r="B4" s="21" t="s">
        <v>72</v>
      </c>
      <c r="C4" s="77">
        <v>9600000</v>
      </c>
      <c r="D4" s="28">
        <f>1947030.98+218.14+24691.99+5528.87</f>
        <v>1977469.98</v>
      </c>
      <c r="E4" s="59">
        <f>C4-D4</f>
        <v>7622530.0199999996</v>
      </c>
      <c r="F4" s="65">
        <f>D4/C4*100</f>
        <v>20.598645625</v>
      </c>
    </row>
    <row r="5" spans="1:6" ht="25.5" customHeight="1" thickBot="1">
      <c r="A5" s="114" t="s">
        <v>73</v>
      </c>
      <c r="B5" s="21" t="s">
        <v>74</v>
      </c>
      <c r="C5" s="77">
        <v>2634000</v>
      </c>
      <c r="D5" s="28">
        <v>1758073.46</v>
      </c>
      <c r="E5" s="59">
        <f>C5-D5</f>
        <v>875926.54</v>
      </c>
      <c r="F5" s="65">
        <f>D5/C5*100</f>
        <v>66.745385725132877</v>
      </c>
    </row>
    <row r="6" spans="1:6" ht="19.5" customHeight="1" thickBot="1">
      <c r="A6" s="114" t="s">
        <v>75</v>
      </c>
      <c r="B6" s="21" t="s">
        <v>76</v>
      </c>
      <c r="C6" s="77">
        <v>1660000</v>
      </c>
      <c r="D6" s="28">
        <v>175951.54</v>
      </c>
      <c r="E6" s="59">
        <f>C6-D6</f>
        <v>1484048.46</v>
      </c>
      <c r="F6" s="65">
        <f>D6/C6*100</f>
        <v>10.599490361445783</v>
      </c>
    </row>
    <row r="7" spans="1:6" ht="13.5" customHeight="1">
      <c r="A7" s="233" t="s">
        <v>77</v>
      </c>
      <c r="B7" s="22" t="s">
        <v>78</v>
      </c>
      <c r="C7" s="257">
        <f>SUM(C9:C10)</f>
        <v>10273500</v>
      </c>
      <c r="D7" s="235">
        <f>SUM(D9:D11)</f>
        <v>3641050.02</v>
      </c>
      <c r="E7" s="235">
        <f>SUM(E9:E11)</f>
        <v>6632449.9800000004</v>
      </c>
      <c r="F7" s="261">
        <f t="shared" ref="F7:F34" si="0">D7/C7*100</f>
        <v>35.441183822455834</v>
      </c>
    </row>
    <row r="8" spans="1:6" ht="13.5" customHeight="1" thickBot="1">
      <c r="A8" s="234"/>
      <c r="B8" s="21" t="s">
        <v>79</v>
      </c>
      <c r="C8" s="258"/>
      <c r="D8" s="236"/>
      <c r="E8" s="236"/>
      <c r="F8" s="262"/>
    </row>
    <row r="9" spans="1:6" ht="47.25" customHeight="1" thickBot="1">
      <c r="A9" s="114" t="s">
        <v>155</v>
      </c>
      <c r="B9" s="23" t="s">
        <v>156</v>
      </c>
      <c r="C9" s="78">
        <v>5565500</v>
      </c>
      <c r="D9" s="29">
        <v>3324090.77</v>
      </c>
      <c r="E9" s="59">
        <f>C9-D9</f>
        <v>2241409.23</v>
      </c>
      <c r="F9" s="65">
        <f t="shared" si="0"/>
        <v>59.726723025783848</v>
      </c>
    </row>
    <row r="10" spans="1:6" ht="45.75" thickBot="1">
      <c r="A10" s="114" t="s">
        <v>157</v>
      </c>
      <c r="B10" s="23" t="s">
        <v>158</v>
      </c>
      <c r="C10" s="78">
        <v>4708000</v>
      </c>
      <c r="D10" s="29">
        <v>316959.25</v>
      </c>
      <c r="E10" s="59">
        <f>C10-D10</f>
        <v>4391040.75</v>
      </c>
      <c r="F10" s="65">
        <f t="shared" si="0"/>
        <v>6.7323545029736618</v>
      </c>
    </row>
    <row r="11" spans="1:6" ht="23.25" thickBot="1">
      <c r="A11" s="114" t="s">
        <v>149</v>
      </c>
      <c r="B11" s="23" t="s">
        <v>85</v>
      </c>
      <c r="C11" s="78">
        <v>0</v>
      </c>
      <c r="D11" s="29">
        <v>0</v>
      </c>
      <c r="E11" s="59">
        <f>C11-D11</f>
        <v>0</v>
      </c>
      <c r="F11" s="65" t="e">
        <f t="shared" si="0"/>
        <v>#DIV/0!</v>
      </c>
    </row>
    <row r="12" spans="1:6" ht="21">
      <c r="A12" s="233" t="s">
        <v>86</v>
      </c>
      <c r="B12" s="22" t="s">
        <v>87</v>
      </c>
      <c r="C12" s="257">
        <f>SUM(C14:C16)</f>
        <v>0</v>
      </c>
      <c r="D12" s="235">
        <v>0</v>
      </c>
      <c r="E12" s="235">
        <f>SUM(E14:E16)</f>
        <v>0</v>
      </c>
      <c r="F12" s="253" t="e">
        <f t="shared" si="0"/>
        <v>#DIV/0!</v>
      </c>
    </row>
    <row r="13" spans="1:6" ht="15.75" customHeight="1" thickBot="1">
      <c r="A13" s="234"/>
      <c r="B13" s="21" t="s">
        <v>79</v>
      </c>
      <c r="C13" s="258"/>
      <c r="D13" s="236"/>
      <c r="E13" s="236"/>
      <c r="F13" s="254"/>
    </row>
    <row r="14" spans="1:6" ht="38.25" customHeight="1" thickBot="1">
      <c r="A14" s="114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customHeight="1" thickBot="1">
      <c r="A15" s="114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customHeight="1" thickBot="1">
      <c r="A16" s="114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4" t="s">
        <v>91</v>
      </c>
      <c r="B17" s="21" t="s">
        <v>92</v>
      </c>
      <c r="C17" s="77">
        <v>36780</v>
      </c>
      <c r="D17" s="28">
        <v>0</v>
      </c>
      <c r="E17" s="59">
        <f t="shared" si="1"/>
        <v>36780</v>
      </c>
      <c r="F17" s="65">
        <f t="shared" si="0"/>
        <v>0</v>
      </c>
    </row>
    <row r="18" spans="1:6" ht="33.75" customHeight="1" thickBot="1">
      <c r="A18" s="114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4" t="s">
        <v>95</v>
      </c>
      <c r="B19" s="25" t="s">
        <v>96</v>
      </c>
      <c r="C19" s="77">
        <v>15000</v>
      </c>
      <c r="D19" s="28">
        <v>0</v>
      </c>
      <c r="E19" s="59">
        <f t="shared" si="1"/>
        <v>15000</v>
      </c>
      <c r="F19" s="65">
        <f t="shared" si="0"/>
        <v>0</v>
      </c>
    </row>
    <row r="20" spans="1:6" ht="24.75" customHeight="1" thickBot="1">
      <c r="A20" s="114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4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4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4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231" t="s">
        <v>106</v>
      </c>
      <c r="B24" s="232"/>
      <c r="C24" s="79">
        <f>C18+C17+C12+C7+C6+C5+C4+C3+C19+C20</f>
        <v>29509780</v>
      </c>
      <c r="D24" s="79">
        <f>D18+D17+D12+D7+D6+D5+D4+D3+D19+D20</f>
        <v>8921438.4600000009</v>
      </c>
      <c r="E24" s="79">
        <f>E18+E17+E12+E7+E6+E5+E4+E3+E20+E19</f>
        <v>20588341.539999999</v>
      </c>
      <c r="F24" s="65">
        <f t="shared" si="0"/>
        <v>30.232141547649633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9313400</v>
      </c>
      <c r="D25" s="79">
        <f>D26+D27+D28+D29+D30+D31+D32</f>
        <v>535091.29</v>
      </c>
      <c r="E25" s="59">
        <f>C25-D25</f>
        <v>8778308.7100000009</v>
      </c>
      <c r="F25" s="117">
        <f t="shared" si="0"/>
        <v>5.7453914789443168</v>
      </c>
    </row>
    <row r="26" spans="1:6" s="18" customFormat="1" ht="34.5" thickBot="1">
      <c r="A26" s="143" t="s">
        <v>165</v>
      </c>
      <c r="B26" s="26" t="s">
        <v>172</v>
      </c>
      <c r="C26" s="80">
        <v>539600</v>
      </c>
      <c r="D26" s="80">
        <v>0</v>
      </c>
      <c r="E26" s="60">
        <f>C26-D26</f>
        <v>539600</v>
      </c>
      <c r="F26" s="73">
        <f t="shared" si="0"/>
        <v>0</v>
      </c>
    </row>
    <row r="27" spans="1:6" s="132" customFormat="1" ht="28.5" customHeight="1" thickBot="1">
      <c r="A27" s="144" t="s">
        <v>166</v>
      </c>
      <c r="B27" s="127" t="s">
        <v>167</v>
      </c>
      <c r="C27" s="128">
        <v>8138300</v>
      </c>
      <c r="D27" s="129">
        <v>245158.64</v>
      </c>
      <c r="E27" s="130">
        <f>C27-D27</f>
        <v>7893141.3600000003</v>
      </c>
      <c r="F27" s="131">
        <f t="shared" si="0"/>
        <v>3.0124060307435214</v>
      </c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/>
      <c r="E28" s="130">
        <f t="shared" ref="E28:E29" si="2">C28-D28</f>
        <v>7600</v>
      </c>
      <c r="F28" s="131"/>
    </row>
    <row r="29" spans="1:6" s="132" customFormat="1" ht="30.75" customHeight="1" thickBot="1">
      <c r="A29" s="133" t="s">
        <v>170</v>
      </c>
      <c r="B29" s="134" t="s">
        <v>171</v>
      </c>
      <c r="C29" s="135">
        <v>402100</v>
      </c>
      <c r="D29" s="129">
        <v>64132.65</v>
      </c>
      <c r="E29" s="130">
        <f t="shared" si="2"/>
        <v>337967.35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>
        <v>225800</v>
      </c>
      <c r="D30" s="129">
        <v>225800</v>
      </c>
      <c r="E30" s="136">
        <f>C30-D30</f>
        <v>0</v>
      </c>
      <c r="F30" s="131">
        <f t="shared" si="0"/>
        <v>100</v>
      </c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 t="e">
        <f t="shared" ref="F31" si="3">D31/C31*100</f>
        <v>#DIV/0!</v>
      </c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 t="e">
        <f>D32/C32*100</f>
        <v>#DIV/0!</v>
      </c>
    </row>
    <row r="33" spans="1:6" ht="16.5" thickBot="1">
      <c r="A33" s="231" t="s">
        <v>109</v>
      </c>
      <c r="B33" s="232"/>
      <c r="C33" s="79">
        <f>C24++C25+C31+C32</f>
        <v>38823180</v>
      </c>
      <c r="D33" s="79">
        <f>D24++D25+D31+D32</f>
        <v>9456529.75</v>
      </c>
      <c r="E33" s="79">
        <f>E24++E25+E31+E32</f>
        <v>29366650.25</v>
      </c>
      <c r="F33" s="65">
        <f t="shared" si="0"/>
        <v>24.357947365465684</v>
      </c>
    </row>
    <row r="34" spans="1:6" ht="28.5" customHeight="1" thickBot="1">
      <c r="A34" s="231" t="s">
        <v>110</v>
      </c>
      <c r="B34" s="232"/>
      <c r="C34" s="79">
        <f>C33</f>
        <v>38823180</v>
      </c>
      <c r="D34" s="30">
        <f t="shared" ref="D34:E34" si="4">D33</f>
        <v>9456529.75</v>
      </c>
      <c r="E34" s="30">
        <f t="shared" si="4"/>
        <v>29366650.25</v>
      </c>
      <c r="F34" s="65">
        <f t="shared" si="0"/>
        <v>24.357947365465684</v>
      </c>
    </row>
  </sheetData>
  <mergeCells count="17"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ht="41.25" customHeight="1" thickBot="1">
      <c r="A3" s="122" t="s">
        <v>153</v>
      </c>
      <c r="B3" s="119" t="s">
        <v>162</v>
      </c>
      <c r="C3" s="98">
        <f>2300000+23000+2963300</f>
        <v>5286300</v>
      </c>
      <c r="D3" s="99">
        <f>750601.09+5244.45+1100536.09-147724</f>
        <v>1708657.63</v>
      </c>
      <c r="E3" s="59">
        <f>C3-D3</f>
        <v>3577642.37</v>
      </c>
      <c r="F3" s="65">
        <f>D3/C3*100</f>
        <v>32.322373493747989</v>
      </c>
    </row>
    <row r="4" spans="1:6" ht="38.25" customHeight="1" thickBot="1">
      <c r="A4" s="121" t="s">
        <v>71</v>
      </c>
      <c r="B4" s="21" t="s">
        <v>72</v>
      </c>
      <c r="C4" s="77">
        <v>11110000</v>
      </c>
      <c r="D4" s="28">
        <v>2334383.16</v>
      </c>
      <c r="E4" s="59">
        <f>C4-D4</f>
        <v>8775616.8399999999</v>
      </c>
      <c r="F4" s="65">
        <f>D4/C4*100</f>
        <v>21.011549594959497</v>
      </c>
    </row>
    <row r="5" spans="1:6" ht="25.5" customHeight="1" thickBot="1">
      <c r="A5" s="121" t="s">
        <v>73</v>
      </c>
      <c r="B5" s="21" t="s">
        <v>74</v>
      </c>
      <c r="C5" s="77">
        <v>2725000</v>
      </c>
      <c r="D5" s="28">
        <v>1139412.1299999999</v>
      </c>
      <c r="E5" s="59">
        <f>C5-D5</f>
        <v>1585587.87</v>
      </c>
      <c r="F5" s="65">
        <f>D5/C5*100</f>
        <v>41.813289174311926</v>
      </c>
    </row>
    <row r="6" spans="1:6" ht="19.5" customHeight="1" thickBot="1">
      <c r="A6" s="121" t="s">
        <v>75</v>
      </c>
      <c r="B6" s="21" t="s">
        <v>76</v>
      </c>
      <c r="C6" s="77">
        <v>4600000</v>
      </c>
      <c r="D6" s="28">
        <v>121151.24</v>
      </c>
      <c r="E6" s="59">
        <f>C6-D6</f>
        <v>4478848.76</v>
      </c>
      <c r="F6" s="65">
        <f>D6/C6*100</f>
        <v>2.6337226086956522</v>
      </c>
    </row>
    <row r="7" spans="1:6" ht="13.5" customHeight="1">
      <c r="A7" s="233" t="s">
        <v>77</v>
      </c>
      <c r="B7" s="22" t="s">
        <v>78</v>
      </c>
      <c r="C7" s="257">
        <f>SUM(C9:C10)</f>
        <v>11075000</v>
      </c>
      <c r="D7" s="235">
        <f>SUM(D9:D10)</f>
        <v>1561684.24</v>
      </c>
      <c r="E7" s="235">
        <f>SUM(E9:E11)</f>
        <v>9513315.7599999998</v>
      </c>
      <c r="F7" s="261">
        <f t="shared" ref="F7:F34" si="0">D7/C7*100</f>
        <v>14.100986365688486</v>
      </c>
    </row>
    <row r="8" spans="1:6" ht="13.5" customHeight="1" thickBot="1">
      <c r="A8" s="234"/>
      <c r="B8" s="21" t="s">
        <v>79</v>
      </c>
      <c r="C8" s="258"/>
      <c r="D8" s="236"/>
      <c r="E8" s="236"/>
      <c r="F8" s="262"/>
    </row>
    <row r="9" spans="1:6" ht="47.25" customHeight="1" thickBot="1">
      <c r="A9" s="121" t="s">
        <v>155</v>
      </c>
      <c r="B9" s="23" t="s">
        <v>156</v>
      </c>
      <c r="C9" s="78">
        <v>5590000</v>
      </c>
      <c r="D9" s="29">
        <v>1413493.9</v>
      </c>
      <c r="E9" s="59">
        <f>C9-D9</f>
        <v>4176506.1</v>
      </c>
      <c r="F9" s="65">
        <f t="shared" si="0"/>
        <v>25.286116279069766</v>
      </c>
    </row>
    <row r="10" spans="1:6" ht="45.75" thickBot="1">
      <c r="A10" s="121" t="s">
        <v>157</v>
      </c>
      <c r="B10" s="23" t="s">
        <v>158</v>
      </c>
      <c r="C10" s="78">
        <v>5485000</v>
      </c>
      <c r="D10" s="29">
        <v>148190.34</v>
      </c>
      <c r="E10" s="59">
        <f>C10-D10</f>
        <v>5336809.66</v>
      </c>
      <c r="F10" s="65">
        <f t="shared" si="0"/>
        <v>2.7017381950774841</v>
      </c>
    </row>
    <row r="11" spans="1:6" ht="23.25" thickBot="1">
      <c r="A11" s="121" t="s">
        <v>149</v>
      </c>
      <c r="B11" s="23" t="s">
        <v>85</v>
      </c>
      <c r="C11" s="78">
        <v>0</v>
      </c>
      <c r="D11" s="29">
        <v>54.22</v>
      </c>
      <c r="E11" s="59"/>
      <c r="F11" s="65"/>
    </row>
    <row r="12" spans="1:6" ht="21">
      <c r="A12" s="233" t="s">
        <v>86</v>
      </c>
      <c r="B12" s="22" t="s">
        <v>87</v>
      </c>
      <c r="C12" s="257">
        <f>SUM(C14:C16)</f>
        <v>0</v>
      </c>
      <c r="D12" s="235">
        <v>0</v>
      </c>
      <c r="E12" s="235">
        <f>SUM(E14:E16)</f>
        <v>0</v>
      </c>
      <c r="F12" s="253"/>
    </row>
    <row r="13" spans="1:6" ht="15.75" customHeight="1" thickBot="1">
      <c r="A13" s="234"/>
      <c r="B13" s="21" t="s">
        <v>79</v>
      </c>
      <c r="C13" s="258"/>
      <c r="D13" s="236"/>
      <c r="E13" s="236"/>
      <c r="F13" s="254"/>
    </row>
    <row r="14" spans="1:6" ht="38.25" customHeight="1" thickBot="1">
      <c r="A14" s="121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/>
    </row>
    <row r="15" spans="1:6" ht="48" customHeight="1" thickBot="1">
      <c r="A15" s="121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/>
    </row>
    <row r="16" spans="1:6" ht="43.5" customHeight="1" thickBot="1">
      <c r="A16" s="121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/>
    </row>
    <row r="17" spans="1:6" ht="36" customHeight="1" thickBot="1">
      <c r="A17" s="121" t="s">
        <v>91</v>
      </c>
      <c r="B17" s="21" t="s">
        <v>92</v>
      </c>
      <c r="C17" s="77">
        <v>35446</v>
      </c>
      <c r="D17" s="28">
        <v>5000</v>
      </c>
      <c r="E17" s="59">
        <f t="shared" si="1"/>
        <v>30446</v>
      </c>
      <c r="F17" s="65">
        <f t="shared" si="0"/>
        <v>14.105964001579869</v>
      </c>
    </row>
    <row r="18" spans="1:6" ht="33.75" customHeight="1" thickBot="1">
      <c r="A18" s="145" t="s">
        <v>174</v>
      </c>
      <c r="B18" s="24" t="s">
        <v>94</v>
      </c>
      <c r="C18" s="79">
        <v>0</v>
      </c>
      <c r="D18" s="30">
        <v>-126000</v>
      </c>
      <c r="E18" s="59"/>
      <c r="F18" s="65"/>
    </row>
    <row r="19" spans="1:6" ht="55.5" customHeight="1" thickBot="1">
      <c r="A19" s="121" t="s">
        <v>95</v>
      </c>
      <c r="B19" s="25" t="s">
        <v>96</v>
      </c>
      <c r="C19" s="77">
        <v>10000</v>
      </c>
      <c r="D19" s="28">
        <v>5000</v>
      </c>
      <c r="E19" s="59">
        <f t="shared" si="1"/>
        <v>5000</v>
      </c>
      <c r="F19" s="65">
        <f t="shared" si="0"/>
        <v>50</v>
      </c>
    </row>
    <row r="20" spans="1:6" ht="24.75" customHeight="1" thickBot="1">
      <c r="A20" s="121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/>
    </row>
    <row r="21" spans="1:6" ht="28.5" customHeight="1" thickBot="1">
      <c r="A21" s="121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/>
    </row>
    <row r="22" spans="1:6" ht="33.75" customHeight="1" thickBot="1">
      <c r="A22" s="121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/>
    </row>
    <row r="23" spans="1:6" ht="37.5" customHeight="1" thickBot="1">
      <c r="A23" s="121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/>
    </row>
    <row r="24" spans="1:6" ht="15.75" customHeight="1" thickBot="1">
      <c r="A24" s="231" t="s">
        <v>106</v>
      </c>
      <c r="B24" s="232"/>
      <c r="C24" s="79">
        <f>C18+C17+C12+C7+C6+C5+C4+C3+C19+C20</f>
        <v>34841746</v>
      </c>
      <c r="D24" s="79">
        <f>D18+D17+D12+D7+D6+D5+D4+D3+D19+D20+D11</f>
        <v>6749342.6199999992</v>
      </c>
      <c r="E24" s="79">
        <f>E18+E17+E12+E7+E6+E5+E4+E3+E20+E19</f>
        <v>27966457.600000001</v>
      </c>
      <c r="F24" s="65">
        <f t="shared" si="0"/>
        <v>19.371424784509937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4787700</v>
      </c>
      <c r="D25" s="79">
        <f>D26+D27+D28+D29+D30+D31+D32</f>
        <v>1166053</v>
      </c>
      <c r="E25" s="59">
        <f>C25-D25</f>
        <v>3621647</v>
      </c>
      <c r="F25" s="117">
        <f t="shared" si="0"/>
        <v>24.355180984606388</v>
      </c>
    </row>
    <row r="26" spans="1:6" s="18" customFormat="1" ht="34.5" thickBot="1">
      <c r="A26" s="143" t="s">
        <v>165</v>
      </c>
      <c r="B26" s="26" t="s">
        <v>172</v>
      </c>
      <c r="C26" s="80">
        <v>4336600</v>
      </c>
      <c r="D26" s="80">
        <v>1084600</v>
      </c>
      <c r="E26" s="60">
        <f>C26-D26</f>
        <v>3252000</v>
      </c>
      <c r="F26" s="73">
        <f t="shared" si="0"/>
        <v>25.010376792879214</v>
      </c>
    </row>
    <row r="27" spans="1:6" s="132" customFormat="1" ht="28.5" customHeight="1" thickBot="1">
      <c r="A27" s="144" t="s">
        <v>166</v>
      </c>
      <c r="B27" s="127" t="s">
        <v>167</v>
      </c>
      <c r="C27" s="128"/>
      <c r="D27" s="129"/>
      <c r="E27" s="130">
        <f>C27-D27</f>
        <v>0</v>
      </c>
      <c r="F27" s="131"/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>
        <v>1900</v>
      </c>
      <c r="E28" s="130">
        <f t="shared" ref="E28:E29" si="2">C28-D28</f>
        <v>5700</v>
      </c>
      <c r="F28" s="131">
        <f>D28/C28*100</f>
        <v>25</v>
      </c>
    </row>
    <row r="29" spans="1:6" s="132" customFormat="1" ht="30.75" customHeight="1" thickBot="1">
      <c r="A29" s="133" t="s">
        <v>170</v>
      </c>
      <c r="B29" s="134" t="s">
        <v>171</v>
      </c>
      <c r="C29" s="135">
        <v>443500</v>
      </c>
      <c r="D29" s="129">
        <v>79553</v>
      </c>
      <c r="E29" s="130">
        <f t="shared" si="2"/>
        <v>363947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/>
      <c r="D30" s="129"/>
      <c r="E30" s="136">
        <f>C30-D30</f>
        <v>0</v>
      </c>
      <c r="F30" s="131"/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/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/>
    </row>
    <row r="33" spans="1:6" ht="16.5" thickBot="1">
      <c r="A33" s="231" t="s">
        <v>109</v>
      </c>
      <c r="B33" s="232"/>
      <c r="C33" s="79">
        <f>C24++C25+C31+C32</f>
        <v>39629446</v>
      </c>
      <c r="D33" s="79">
        <f>D24++D25+D31+D32</f>
        <v>7915395.6199999992</v>
      </c>
      <c r="E33" s="79">
        <f>E24++E25+E31+E32</f>
        <v>31588104.600000001</v>
      </c>
      <c r="F33" s="65">
        <f t="shared" si="0"/>
        <v>19.973520750201754</v>
      </c>
    </row>
    <row r="34" spans="1:6" ht="28.5" customHeight="1" thickBot="1">
      <c r="A34" s="231" t="s">
        <v>110</v>
      </c>
      <c r="B34" s="232"/>
      <c r="C34" s="79">
        <f>C33</f>
        <v>39629446</v>
      </c>
      <c r="D34" s="30">
        <f t="shared" ref="D34:E34" si="3">D33</f>
        <v>7915395.6199999992</v>
      </c>
      <c r="E34" s="30">
        <f t="shared" si="3"/>
        <v>31588104.600000001</v>
      </c>
      <c r="F34" s="65">
        <f t="shared" si="0"/>
        <v>19.973520750201754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activeCell="D65" sqref="D65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26">
        <v>100</v>
      </c>
      <c r="B2" s="24" t="s">
        <v>119</v>
      </c>
      <c r="C2" s="43">
        <f>SUM(C3:C8)</f>
        <v>20972946</v>
      </c>
      <c r="D2" s="43">
        <f>SUM(D3:D8)</f>
        <v>3865727.7399999998</v>
      </c>
      <c r="E2" s="55">
        <f>D2-C2</f>
        <v>-17107218.260000002</v>
      </c>
      <c r="F2" s="56">
        <f>D2/C2*100</f>
        <v>18.43197298081061</v>
      </c>
    </row>
    <row r="3" spans="1:6" ht="23.25" thickBot="1">
      <c r="A3" s="124">
        <v>102</v>
      </c>
      <c r="B3" s="26" t="s">
        <v>120</v>
      </c>
      <c r="C3" s="44">
        <f>819600+247500</f>
        <v>1067100</v>
      </c>
      <c r="D3" s="44">
        <f>231723.68+40258.42</f>
        <v>271982.09999999998</v>
      </c>
      <c r="E3" s="55">
        <f t="shared" ref="E3:E39" si="0">D3-C3</f>
        <v>-795117.9</v>
      </c>
      <c r="F3" s="56">
        <f>D3/C3*100</f>
        <v>25.487967388248521</v>
      </c>
    </row>
    <row r="4" spans="1:6" ht="45.75" thickBot="1">
      <c r="A4" s="124">
        <v>104</v>
      </c>
      <c r="B4" s="87" t="s">
        <v>4</v>
      </c>
      <c r="C4" s="44">
        <f>5002400+400+1510800+197300+171000+20000+15000+12000+7600</f>
        <v>6936500</v>
      </c>
      <c r="D4" s="44">
        <f>959658.81+100+232241.02+44701.62+5500+2202.88+9379.92+1900</f>
        <v>1255684.25</v>
      </c>
      <c r="E4" s="55">
        <f t="shared" si="0"/>
        <v>-5680815.75</v>
      </c>
      <c r="F4" s="56">
        <f>D4/C4*100</f>
        <v>18.102562531536076</v>
      </c>
    </row>
    <row r="5" spans="1:6" ht="38.25" customHeight="1" thickBot="1">
      <c r="A5" s="112">
        <v>106</v>
      </c>
      <c r="B5" s="120" t="s">
        <v>152</v>
      </c>
      <c r="C5" s="44">
        <v>284000</v>
      </c>
      <c r="D5" s="44">
        <v>0</v>
      </c>
      <c r="E5" s="55">
        <f t="shared" si="0"/>
        <v>-284000</v>
      </c>
      <c r="F5" s="56">
        <f>D5/C5*100</f>
        <v>0</v>
      </c>
    </row>
    <row r="6" spans="1:6" ht="25.5" customHeight="1" thickBot="1">
      <c r="A6" s="124">
        <v>107</v>
      </c>
      <c r="B6" s="113" t="s">
        <v>154</v>
      </c>
      <c r="C6" s="44">
        <v>890000</v>
      </c>
      <c r="D6" s="44">
        <v>0</v>
      </c>
      <c r="E6" s="55">
        <f t="shared" si="0"/>
        <v>-890000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124">
        <v>113</v>
      </c>
      <c r="B8" s="26" t="s">
        <v>121</v>
      </c>
      <c r="C8" s="44">
        <f>130000+580000+420000+10000+1266200+382400+490000+136000+3000+3600+400+3614900+600+1091700+749600+2813946+25000+28000</f>
        <v>11745346</v>
      </c>
      <c r="D8" s="45">
        <f>8500+269833.45+66970.21+94272.61+12690+99.48+776339.96+100+190799.99+324855.62+579550.07+4504+9546</f>
        <v>2338061.3899999997</v>
      </c>
      <c r="E8" s="55">
        <f t="shared" si="0"/>
        <v>-9407284.6099999994</v>
      </c>
      <c r="F8" s="56">
        <f t="shared" si="1"/>
        <v>19.906279389300234</v>
      </c>
    </row>
    <row r="9" spans="1:6" ht="16.5" thickBot="1">
      <c r="A9" s="126">
        <v>200</v>
      </c>
      <c r="B9" s="24" t="s">
        <v>122</v>
      </c>
      <c r="C9" s="43">
        <f>C10</f>
        <v>443500</v>
      </c>
      <c r="D9" s="43">
        <f>D10</f>
        <v>79553</v>
      </c>
      <c r="E9" s="55">
        <f t="shared" si="0"/>
        <v>-363947</v>
      </c>
      <c r="F9" s="56">
        <f t="shared" si="1"/>
        <v>17.937542277339347</v>
      </c>
    </row>
    <row r="10" spans="1:6" ht="16.5" thickBot="1">
      <c r="A10" s="124">
        <v>203</v>
      </c>
      <c r="B10" s="26" t="s">
        <v>123</v>
      </c>
      <c r="C10" s="44">
        <f>339480+102520+1500</f>
        <v>443500</v>
      </c>
      <c r="D10" s="44">
        <f>64253+15300</f>
        <v>79553</v>
      </c>
      <c r="E10" s="55">
        <f t="shared" si="0"/>
        <v>-363947</v>
      </c>
      <c r="F10" s="56">
        <f t="shared" si="1"/>
        <v>17.937542277339347</v>
      </c>
    </row>
    <row r="11" spans="1:6" ht="21.75" thickBot="1">
      <c r="A11" s="126">
        <v>300</v>
      </c>
      <c r="B11" s="24" t="s">
        <v>124</v>
      </c>
      <c r="C11" s="43">
        <f>SUM(C12:C13)</f>
        <v>170000</v>
      </c>
      <c r="D11" s="43">
        <f>SUM(D12:D13)</f>
        <v>34852</v>
      </c>
      <c r="E11" s="55">
        <f t="shared" si="0"/>
        <v>-135148</v>
      </c>
      <c r="F11" s="56">
        <f t="shared" si="1"/>
        <v>20.501176470588238</v>
      </c>
    </row>
    <row r="12" spans="1:6" ht="34.5" thickBot="1">
      <c r="A12" s="124">
        <v>309</v>
      </c>
      <c r="B12" s="37" t="s">
        <v>125</v>
      </c>
      <c r="C12" s="125">
        <f>55000+25000</f>
        <v>80000</v>
      </c>
      <c r="D12" s="44">
        <v>0</v>
      </c>
      <c r="E12" s="55">
        <f t="shared" si="0"/>
        <v>-80000</v>
      </c>
      <c r="F12" s="56">
        <f t="shared" si="1"/>
        <v>0</v>
      </c>
    </row>
    <row r="13" spans="1:6" ht="34.5" thickBot="1">
      <c r="A13" s="124">
        <v>314</v>
      </c>
      <c r="B13" s="38" t="s">
        <v>126</v>
      </c>
      <c r="C13" s="44">
        <f>70000+20000</f>
        <v>90000</v>
      </c>
      <c r="D13" s="44">
        <v>34852</v>
      </c>
      <c r="E13" s="55">
        <f t="shared" si="0"/>
        <v>-55148</v>
      </c>
      <c r="F13" s="56">
        <f t="shared" si="1"/>
        <v>38.724444444444444</v>
      </c>
    </row>
    <row r="14" spans="1:6" ht="16.5" thickBot="1">
      <c r="A14" s="126">
        <v>400</v>
      </c>
      <c r="B14" s="39" t="s">
        <v>64</v>
      </c>
      <c r="C14" s="43">
        <f>SUM(C15:C16)</f>
        <v>6587693.4400000004</v>
      </c>
      <c r="D14" s="43">
        <f>SUM(D15:D16)</f>
        <v>302174</v>
      </c>
      <c r="E14" s="55">
        <f t="shared" si="0"/>
        <v>-6285519.4400000004</v>
      </c>
      <c r="F14" s="56">
        <f t="shared" si="1"/>
        <v>4.5869468995812896</v>
      </c>
    </row>
    <row r="15" spans="1:6" ht="16.5" thickBot="1">
      <c r="A15" s="124">
        <v>409</v>
      </c>
      <c r="B15" s="26" t="s">
        <v>18</v>
      </c>
      <c r="C15" s="44">
        <f>4817693.44+1000000+600000</f>
        <v>6417693.4400000004</v>
      </c>
      <c r="D15" s="44">
        <f>199250+102924</f>
        <v>302174</v>
      </c>
      <c r="E15" s="55">
        <f t="shared" si="0"/>
        <v>-6115519.4400000004</v>
      </c>
      <c r="F15" s="56">
        <f t="shared" si="1"/>
        <v>4.7084517642525467</v>
      </c>
    </row>
    <row r="16" spans="1:6" ht="23.25" thickBot="1">
      <c r="A16" s="124">
        <v>412</v>
      </c>
      <c r="B16" s="26" t="s">
        <v>127</v>
      </c>
      <c r="C16" s="44">
        <f>20000+150000</f>
        <v>170000</v>
      </c>
      <c r="D16" s="44"/>
      <c r="E16" s="55">
        <f t="shared" si="0"/>
        <v>-170000</v>
      </c>
      <c r="F16" s="56">
        <f t="shared" si="1"/>
        <v>0</v>
      </c>
    </row>
    <row r="17" spans="1:6" ht="16.5" thickBot="1">
      <c r="A17" s="126">
        <v>500</v>
      </c>
      <c r="B17" s="24" t="s">
        <v>128</v>
      </c>
      <c r="C17" s="43">
        <f>SUM(C18:C19)</f>
        <v>7355000</v>
      </c>
      <c r="D17" s="43">
        <f>SUM(D18:D19)</f>
        <v>670824.19999999995</v>
      </c>
      <c r="E17" s="55">
        <f t="shared" si="0"/>
        <v>-6684175.7999999998</v>
      </c>
      <c r="F17" s="56">
        <f t="shared" si="1"/>
        <v>9.1206553365057772</v>
      </c>
    </row>
    <row r="18" spans="1:6" ht="16.5" thickBot="1">
      <c r="A18" s="124">
        <v>502</v>
      </c>
      <c r="B18" s="26" t="s">
        <v>19</v>
      </c>
      <c r="C18" s="44">
        <f>500000+400000+1580000</f>
        <v>2480000</v>
      </c>
      <c r="D18" s="44">
        <v>119310</v>
      </c>
      <c r="E18" s="55">
        <f t="shared" si="0"/>
        <v>-2360690</v>
      </c>
      <c r="F18" s="56">
        <f t="shared" si="1"/>
        <v>4.8108870967741932</v>
      </c>
    </row>
    <row r="19" spans="1:6" ht="16.5" thickBot="1">
      <c r="A19" s="124">
        <v>503</v>
      </c>
      <c r="B19" s="26" t="s">
        <v>22</v>
      </c>
      <c r="C19" s="44">
        <f>2400000+130000+150000+2195000</f>
        <v>4875000</v>
      </c>
      <c r="D19" s="44">
        <f>406485.2+145029</f>
        <v>551514.19999999995</v>
      </c>
      <c r="E19" s="55">
        <f t="shared" si="0"/>
        <v>-4323485.8</v>
      </c>
      <c r="F19" s="56">
        <f t="shared" si="1"/>
        <v>11.313111794871794</v>
      </c>
    </row>
    <row r="20" spans="1:6" ht="16.5" thickBot="1">
      <c r="A20" s="126">
        <v>700</v>
      </c>
      <c r="B20" s="24" t="s">
        <v>129</v>
      </c>
      <c r="C20" s="43">
        <f>SUM(C21:C22)</f>
        <v>180000</v>
      </c>
      <c r="D20" s="43">
        <f>SUM(D21:D22)</f>
        <v>7124</v>
      </c>
      <c r="E20" s="55">
        <f t="shared" si="0"/>
        <v>-172876</v>
      </c>
      <c r="F20" s="56">
        <f t="shared" si="1"/>
        <v>3.9577777777777783</v>
      </c>
    </row>
    <row r="21" spans="1:6" ht="16.5" thickBot="1">
      <c r="A21" s="146">
        <v>705</v>
      </c>
      <c r="B21" s="26" t="s">
        <v>173</v>
      </c>
      <c r="C21" s="44">
        <v>150000</v>
      </c>
      <c r="D21" s="44">
        <v>6000</v>
      </c>
      <c r="E21" s="147">
        <f>D21-C21</f>
        <v>-144000</v>
      </c>
      <c r="F21" s="56">
        <f>D21/C21*100</f>
        <v>4</v>
      </c>
    </row>
    <row r="22" spans="1:6" ht="16.5" thickBot="1">
      <c r="A22" s="124">
        <v>707</v>
      </c>
      <c r="B22" s="26" t="s">
        <v>23</v>
      </c>
      <c r="C22" s="44">
        <f>30000</f>
        <v>30000</v>
      </c>
      <c r="D22" s="44">
        <v>1124</v>
      </c>
      <c r="E22" s="147">
        <f t="shared" si="0"/>
        <v>-28876</v>
      </c>
      <c r="F22" s="56">
        <f t="shared" si="1"/>
        <v>3.746666666666667</v>
      </c>
    </row>
    <row r="23" spans="1:6" ht="16.5" thickBot="1">
      <c r="A23" s="126">
        <v>800</v>
      </c>
      <c r="B23" s="24" t="s">
        <v>130</v>
      </c>
      <c r="C23" s="43">
        <f>SUM(C24:C25)</f>
        <v>7348641.5600000005</v>
      </c>
      <c r="D23" s="43">
        <f>SUM(D24:D25)</f>
        <v>1039572.03</v>
      </c>
      <c r="E23" s="55">
        <f t="shared" si="0"/>
        <v>-6309069.5300000003</v>
      </c>
      <c r="F23" s="56">
        <f t="shared" si="1"/>
        <v>14.14645171508406</v>
      </c>
    </row>
    <row r="24" spans="1:6" ht="16.5" thickBot="1">
      <c r="A24" s="124">
        <v>801</v>
      </c>
      <c r="B24" s="26" t="s">
        <v>131</v>
      </c>
      <c r="C24" s="44">
        <f>4176400+2652241.56+10000+110000</f>
        <v>6948641.5600000005</v>
      </c>
      <c r="D24" s="44">
        <f>570699.42+466502.61</f>
        <v>1037202.03</v>
      </c>
      <c r="E24" s="55">
        <f t="shared" si="0"/>
        <v>-5911439.5300000003</v>
      </c>
      <c r="F24" s="56">
        <f t="shared" si="1"/>
        <v>14.926687771185017</v>
      </c>
    </row>
    <row r="25" spans="1:6" ht="16.5" thickBot="1">
      <c r="A25" s="124">
        <v>804</v>
      </c>
      <c r="B25" s="26" t="s">
        <v>132</v>
      </c>
      <c r="C25" s="44">
        <v>400000</v>
      </c>
      <c r="D25" s="44">
        <v>2370</v>
      </c>
      <c r="E25" s="55">
        <f t="shared" si="0"/>
        <v>-397630</v>
      </c>
      <c r="F25" s="56">
        <f t="shared" si="1"/>
        <v>0.59250000000000003</v>
      </c>
    </row>
    <row r="26" spans="1:6" ht="16.5" hidden="1" thickBot="1">
      <c r="A26" s="126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6" ht="16.5" hidden="1" thickBot="1">
      <c r="A27" s="124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6" ht="16.5" thickBot="1">
      <c r="A28" s="126">
        <v>1100</v>
      </c>
      <c r="B28" s="24" t="s">
        <v>135</v>
      </c>
      <c r="C28" s="43">
        <f>C29+C30</f>
        <v>3508800</v>
      </c>
      <c r="D28" s="43">
        <f>D29+D30</f>
        <v>1087579.05</v>
      </c>
      <c r="E28" s="55">
        <f t="shared" si="0"/>
        <v>-2421220.9500000002</v>
      </c>
      <c r="F28" s="56">
        <f t="shared" si="1"/>
        <v>30.99575495896033</v>
      </c>
    </row>
    <row r="29" spans="1:6" ht="16.5" thickBot="1">
      <c r="A29" s="124">
        <v>1101</v>
      </c>
      <c r="B29" s="26" t="s">
        <v>136</v>
      </c>
      <c r="C29" s="44">
        <v>1138800</v>
      </c>
      <c r="D29" s="44">
        <v>370940.05</v>
      </c>
      <c r="E29" s="55">
        <f t="shared" si="0"/>
        <v>-767859.95</v>
      </c>
      <c r="F29" s="56">
        <f t="shared" si="1"/>
        <v>32.572888127853886</v>
      </c>
    </row>
    <row r="30" spans="1:6" ht="16.5" customHeight="1" thickBot="1">
      <c r="A30" s="124">
        <v>1102</v>
      </c>
      <c r="B30" s="26" t="s">
        <v>151</v>
      </c>
      <c r="C30" s="49">
        <v>2370000</v>
      </c>
      <c r="D30" s="49">
        <v>716639</v>
      </c>
      <c r="E30" s="55">
        <f t="shared" si="0"/>
        <v>-1653361</v>
      </c>
      <c r="F30" s="56">
        <f t="shared" si="1"/>
        <v>30.237932489451474</v>
      </c>
    </row>
    <row r="31" spans="1:6" ht="16.5" thickBot="1">
      <c r="A31" s="123">
        <v>1200</v>
      </c>
      <c r="B31" s="104" t="s">
        <v>137</v>
      </c>
      <c r="C31" s="105">
        <v>0</v>
      </c>
      <c r="D31" s="105">
        <v>0</v>
      </c>
      <c r="E31" s="55">
        <f t="shared" si="0"/>
        <v>0</v>
      </c>
      <c r="F31" s="56"/>
    </row>
    <row r="32" spans="1:6" ht="23.25" thickBot="1">
      <c r="A32" s="102">
        <v>1204</v>
      </c>
      <c r="B32" s="91" t="s">
        <v>150</v>
      </c>
      <c r="C32" s="109">
        <v>80000</v>
      </c>
      <c r="D32" s="111">
        <v>6796.8</v>
      </c>
      <c r="E32" s="55">
        <f t="shared" si="0"/>
        <v>-73203.199999999997</v>
      </c>
      <c r="F32" s="56">
        <f t="shared" si="1"/>
        <v>8.4960000000000004</v>
      </c>
    </row>
    <row r="33" spans="1:6" ht="23.25" hidden="1" thickBot="1">
      <c r="A33" s="102">
        <v>1300</v>
      </c>
      <c r="B33" s="91" t="s">
        <v>161</v>
      </c>
      <c r="C33" s="103">
        <v>0</v>
      </c>
      <c r="D33" s="110"/>
      <c r="E33" s="55"/>
      <c r="F33" s="56"/>
    </row>
    <row r="34" spans="1:6" ht="23.25" hidden="1" thickBot="1">
      <c r="A34" s="106">
        <v>1301</v>
      </c>
      <c r="B34" s="107" t="s">
        <v>161</v>
      </c>
      <c r="C34" s="108">
        <v>0</v>
      </c>
      <c r="D34" s="108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63" t="s">
        <v>139</v>
      </c>
      <c r="B35" s="101" t="s">
        <v>140</v>
      </c>
      <c r="C35" s="264">
        <f>C37</f>
        <v>0</v>
      </c>
      <c r="D35" s="265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250"/>
      <c r="B36" s="24" t="s">
        <v>141</v>
      </c>
      <c r="C36" s="252"/>
      <c r="D36" s="252"/>
      <c r="E36" s="55">
        <f t="shared" si="0"/>
        <v>0</v>
      </c>
      <c r="F36" s="56"/>
    </row>
    <row r="37" spans="1:6" ht="16.5" hidden="1" thickBot="1">
      <c r="A37" s="245" t="s">
        <v>142</v>
      </c>
      <c r="B37" s="41" t="s">
        <v>143</v>
      </c>
      <c r="C37" s="247">
        <v>0</v>
      </c>
      <c r="D37" s="247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246"/>
      <c r="B38" s="26" t="s">
        <v>144</v>
      </c>
      <c r="C38" s="248"/>
      <c r="D38" s="248"/>
      <c r="E38" s="55">
        <f t="shared" si="0"/>
        <v>0</v>
      </c>
      <c r="F38" s="56"/>
    </row>
    <row r="39" spans="1:6" ht="16.5" thickBot="1">
      <c r="A39" s="126">
        <v>9800</v>
      </c>
      <c r="B39" s="24" t="s">
        <v>145</v>
      </c>
      <c r="C39" s="43">
        <f>C35+C31+C28+C26+C23+C20+C17+C14+C11+C9+C2+C33+C32</f>
        <v>46646581</v>
      </c>
      <c r="D39" s="43">
        <f>D35+D31+D28+D26+D23+D20+D17+D14+D11+D9+D2+D32</f>
        <v>7094202.8199999994</v>
      </c>
      <c r="E39" s="55">
        <f t="shared" si="0"/>
        <v>-39552378.18</v>
      </c>
      <c r="F39" s="56">
        <f t="shared" si="1"/>
        <v>15.208408993576613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3"/>
  <sheetViews>
    <sheetView topLeftCell="A26" zoomScaleNormal="100" workbookViewId="0">
      <selection activeCell="C6" sqref="C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 thickBot="1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/>
    <row r="5" spans="1:6" s="180" customFormat="1" ht="130.5" customHeight="1" thickBot="1">
      <c r="A5" s="174" t="s">
        <v>176</v>
      </c>
      <c r="B5" s="175" t="s">
        <v>175</v>
      </c>
      <c r="C5" s="176">
        <v>4050000</v>
      </c>
      <c r="D5" s="177">
        <v>728056.4</v>
      </c>
      <c r="E5" s="178">
        <f>C5-D5</f>
        <v>3321943.6</v>
      </c>
      <c r="F5" s="179">
        <f t="shared" ref="F5:F14" si="0">D5/C5*100</f>
        <v>17.976701234567901</v>
      </c>
    </row>
    <row r="6" spans="1:6" s="180" customFormat="1" ht="149.25" customHeight="1" thickBot="1">
      <c r="A6" s="174" t="s">
        <v>177</v>
      </c>
      <c r="B6" s="175" t="s">
        <v>178</v>
      </c>
      <c r="C6" s="176">
        <v>32000</v>
      </c>
      <c r="D6" s="177">
        <v>4746.18</v>
      </c>
      <c r="E6" s="178">
        <f t="shared" ref="E6:E14" si="1">C6-D6</f>
        <v>27253.82</v>
      </c>
      <c r="F6" s="179">
        <f t="shared" si="0"/>
        <v>14.831812500000002</v>
      </c>
    </row>
    <row r="7" spans="1:6" s="180" customFormat="1" ht="149.25" customHeight="1" thickBot="1">
      <c r="A7" s="174" t="s">
        <v>179</v>
      </c>
      <c r="B7" s="175" t="s">
        <v>180</v>
      </c>
      <c r="C7" s="176">
        <v>3800000</v>
      </c>
      <c r="D7" s="177">
        <v>1021865.88</v>
      </c>
      <c r="E7" s="178">
        <f t="shared" si="1"/>
        <v>2778134.12</v>
      </c>
      <c r="F7" s="179">
        <f t="shared" si="0"/>
        <v>26.891207368421057</v>
      </c>
    </row>
    <row r="8" spans="1:6" s="180" customFormat="1" ht="149.25" customHeight="1" thickBot="1">
      <c r="A8" s="174" t="s">
        <v>181</v>
      </c>
      <c r="B8" s="175" t="s">
        <v>182</v>
      </c>
      <c r="C8" s="176">
        <v>0</v>
      </c>
      <c r="D8" s="177">
        <v>-150385.15</v>
      </c>
      <c r="E8" s="178"/>
      <c r="F8" s="179" t="e">
        <f t="shared" si="0"/>
        <v>#DIV/0!</v>
      </c>
    </row>
    <row r="9" spans="1:6" s="180" customFormat="1" ht="38.25" customHeight="1" thickBot="1">
      <c r="A9" s="174" t="s">
        <v>71</v>
      </c>
      <c r="B9" s="175" t="s">
        <v>72</v>
      </c>
      <c r="C9" s="176">
        <v>13040000</v>
      </c>
      <c r="D9" s="177">
        <v>2286719.77</v>
      </c>
      <c r="E9" s="178">
        <f t="shared" si="1"/>
        <v>10753280.23</v>
      </c>
      <c r="F9" s="179">
        <f t="shared" si="0"/>
        <v>17.536194555214724</v>
      </c>
    </row>
    <row r="10" spans="1:6" s="180" customFormat="1" ht="108" customHeight="1" thickBot="1">
      <c r="A10" s="174" t="s">
        <v>184</v>
      </c>
      <c r="B10" s="175" t="s">
        <v>185</v>
      </c>
      <c r="C10" s="176">
        <v>0</v>
      </c>
      <c r="D10" s="177">
        <v>12678.69</v>
      </c>
      <c r="E10" s="178"/>
      <c r="F10" s="179" t="e">
        <f t="shared" si="0"/>
        <v>#DIV/0!</v>
      </c>
    </row>
    <row r="11" spans="1:6" s="180" customFormat="1" ht="33" customHeight="1" thickBot="1">
      <c r="A11" s="174" t="s">
        <v>186</v>
      </c>
      <c r="B11" s="175" t="s">
        <v>187</v>
      </c>
      <c r="C11" s="176">
        <v>0</v>
      </c>
      <c r="D11" s="177">
        <v>-33047.71</v>
      </c>
      <c r="E11" s="178"/>
      <c r="F11" s="179" t="e">
        <f t="shared" si="0"/>
        <v>#DIV/0!</v>
      </c>
    </row>
    <row r="12" spans="1:6" s="180" customFormat="1" ht="88.5" customHeight="1" thickBot="1">
      <c r="A12" s="181" t="s">
        <v>203</v>
      </c>
      <c r="B12" s="182" t="s">
        <v>204</v>
      </c>
      <c r="C12" s="183">
        <v>0</v>
      </c>
      <c r="D12" s="184">
        <v>30871</v>
      </c>
      <c r="E12" s="178"/>
      <c r="F12" s="185" t="e">
        <f t="shared" si="0"/>
        <v>#DIV/0!</v>
      </c>
    </row>
    <row r="13" spans="1:6" s="180" customFormat="1" ht="25.5" customHeight="1" thickBot="1">
      <c r="A13" s="186" t="s">
        <v>188</v>
      </c>
      <c r="B13" s="187" t="s">
        <v>74</v>
      </c>
      <c r="C13" s="188">
        <v>1878000</v>
      </c>
      <c r="D13" s="189">
        <v>1765455.5</v>
      </c>
      <c r="E13" s="178">
        <f t="shared" si="1"/>
        <v>112544.5</v>
      </c>
      <c r="F13" s="179">
        <f t="shared" si="0"/>
        <v>94.007215122470711</v>
      </c>
    </row>
    <row r="14" spans="1:6" s="180" customFormat="1" ht="19.5" customHeight="1" thickBot="1">
      <c r="A14" s="186" t="s">
        <v>75</v>
      </c>
      <c r="B14" s="187" t="s">
        <v>76</v>
      </c>
      <c r="C14" s="188">
        <v>5546800</v>
      </c>
      <c r="D14" s="189">
        <v>319708.84999999998</v>
      </c>
      <c r="E14" s="178">
        <f t="shared" si="1"/>
        <v>5227091.1500000004</v>
      </c>
      <c r="F14" s="179">
        <f t="shared" si="0"/>
        <v>5.7638431167520006</v>
      </c>
    </row>
    <row r="15" spans="1:6" s="180" customFormat="1" ht="13.5" customHeight="1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1019817.8400000001</v>
      </c>
      <c r="E15" s="192">
        <f>SUM(E17:E18)</f>
        <v>8548182.1600000001</v>
      </c>
      <c r="F15" s="179">
        <f t="shared" ref="F15:F43" si="2">D15/C15*100</f>
        <v>10.658631270903012</v>
      </c>
    </row>
    <row r="16" spans="1:6" s="180" customFormat="1" ht="13.5" hidden="1" customHeight="1" thickBot="1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>
      <c r="A17" s="174" t="s">
        <v>155</v>
      </c>
      <c r="B17" s="197" t="s">
        <v>156</v>
      </c>
      <c r="C17" s="198">
        <v>4160000</v>
      </c>
      <c r="D17" s="76">
        <v>731322.4</v>
      </c>
      <c r="E17" s="178">
        <f>C17-D17</f>
        <v>3428677.6</v>
      </c>
      <c r="F17" s="179">
        <f t="shared" si="2"/>
        <v>17.579865384615385</v>
      </c>
    </row>
    <row r="18" spans="1:6" s="180" customFormat="1" ht="45.75" thickBot="1">
      <c r="A18" s="174" t="s">
        <v>157</v>
      </c>
      <c r="B18" s="197" t="s">
        <v>158</v>
      </c>
      <c r="C18" s="198">
        <v>5408000</v>
      </c>
      <c r="D18" s="76">
        <v>288495.44</v>
      </c>
      <c r="E18" s="178">
        <f>C18-D18</f>
        <v>5119504.5599999996</v>
      </c>
      <c r="F18" s="179">
        <f t="shared" si="2"/>
        <v>5.3346050295857994</v>
      </c>
    </row>
    <row r="19" spans="1:6" ht="23.25" thickBot="1">
      <c r="A19" s="148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>
      <c r="A21" s="234"/>
      <c r="B21" s="21" t="s">
        <v>79</v>
      </c>
      <c r="C21" s="258"/>
      <c r="D21" s="236"/>
      <c r="E21" s="266"/>
      <c r="F21" s="254"/>
    </row>
    <row r="22" spans="1:6" ht="38.25" customHeight="1" thickBot="1">
      <c r="A22" s="148" t="s">
        <v>88</v>
      </c>
      <c r="B22" s="23" t="s">
        <v>112</v>
      </c>
      <c r="C22" s="78">
        <v>0</v>
      </c>
      <c r="D22" s="74">
        <v>0</v>
      </c>
      <c r="E22" s="160">
        <f t="shared" ref="E22:E32" si="3">C22-D22</f>
        <v>0</v>
      </c>
      <c r="F22" s="65"/>
    </row>
    <row r="23" spans="1:6" ht="48" customHeight="1" thickBot="1">
      <c r="A23" s="148" t="s">
        <v>89</v>
      </c>
      <c r="B23" s="23" t="s">
        <v>113</v>
      </c>
      <c r="C23" s="78">
        <v>0</v>
      </c>
      <c r="D23" s="75">
        <v>0</v>
      </c>
      <c r="E23" s="59">
        <f t="shared" si="3"/>
        <v>0</v>
      </c>
      <c r="F23" s="65"/>
    </row>
    <row r="24" spans="1:6" ht="43.5" customHeight="1" thickBot="1">
      <c r="A24" s="148" t="s">
        <v>90</v>
      </c>
      <c r="B24" s="23" t="s">
        <v>114</v>
      </c>
      <c r="C24" s="78">
        <v>0</v>
      </c>
      <c r="D24" s="76">
        <v>0</v>
      </c>
      <c r="E24" s="59">
        <f t="shared" si="3"/>
        <v>0</v>
      </c>
      <c r="F24" s="65"/>
    </row>
    <row r="25" spans="1:6" s="180" customFormat="1" ht="36" customHeight="1" thickBot="1">
      <c r="A25" s="174" t="s">
        <v>91</v>
      </c>
      <c r="B25" s="175" t="s">
        <v>92</v>
      </c>
      <c r="C25" s="176">
        <v>61204</v>
      </c>
      <c r="D25" s="177">
        <v>16692</v>
      </c>
      <c r="E25" s="178">
        <f t="shared" si="3"/>
        <v>44512</v>
      </c>
      <c r="F25" s="179">
        <f t="shared" si="2"/>
        <v>27.27272727272727</v>
      </c>
    </row>
    <row r="26" spans="1:6" s="180" customFormat="1" ht="85.5" customHeight="1" thickBot="1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2"/>
        <v>#DIV/0!</v>
      </c>
    </row>
    <row r="27" spans="1:6" s="180" customFormat="1" ht="83.25" customHeight="1" thickBot="1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2"/>
        <v>0</v>
      </c>
    </row>
    <row r="28" spans="1:6" ht="55.5" customHeight="1" thickBot="1">
      <c r="A28" s="148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2"/>
        <v>#VALUE!</v>
      </c>
    </row>
    <row r="29" spans="1:6" ht="24.75" customHeight="1" thickBot="1">
      <c r="A29" s="148" t="s">
        <v>97</v>
      </c>
      <c r="B29" s="25" t="s">
        <v>98</v>
      </c>
      <c r="C29" s="77">
        <v>0</v>
      </c>
      <c r="D29" s="28">
        <v>0</v>
      </c>
      <c r="E29" s="59">
        <f t="shared" si="3"/>
        <v>0</v>
      </c>
      <c r="F29" s="65"/>
    </row>
    <row r="30" spans="1:6" ht="28.5" customHeight="1" thickBot="1">
      <c r="A30" s="148" t="s">
        <v>147</v>
      </c>
      <c r="B30" s="25" t="s">
        <v>148</v>
      </c>
      <c r="C30" s="77">
        <v>0</v>
      </c>
      <c r="D30" s="28">
        <v>0</v>
      </c>
      <c r="E30" s="59">
        <f t="shared" si="3"/>
        <v>0</v>
      </c>
      <c r="F30" s="65"/>
    </row>
    <row r="31" spans="1:6" ht="33.75" customHeight="1" thickBot="1">
      <c r="A31" s="148" t="s">
        <v>100</v>
      </c>
      <c r="B31" s="25" t="s">
        <v>101</v>
      </c>
      <c r="C31" s="77">
        <v>0</v>
      </c>
      <c r="D31" s="28">
        <v>0</v>
      </c>
      <c r="E31" s="59">
        <f t="shared" si="3"/>
        <v>0</v>
      </c>
      <c r="F31" s="65"/>
    </row>
    <row r="32" spans="1:6" ht="37.5" customHeight="1" thickBot="1">
      <c r="A32" s="148" t="s">
        <v>102</v>
      </c>
      <c r="B32" s="25" t="s">
        <v>103</v>
      </c>
      <c r="C32" s="77">
        <v>0</v>
      </c>
      <c r="D32" s="28">
        <v>0</v>
      </c>
      <c r="E32" s="59">
        <f t="shared" si="3"/>
        <v>0</v>
      </c>
      <c r="F32" s="65"/>
    </row>
    <row r="33" spans="1:6" ht="15.75" customHeight="1" thickBot="1">
      <c r="A33" s="231" t="s">
        <v>106</v>
      </c>
      <c r="B33" s="232"/>
      <c r="C33" s="79">
        <f>C9+C5+C6+C7+C8+C10+C11+C13+C14+C15+C25+C26+C27</f>
        <v>37986004</v>
      </c>
      <c r="D33" s="79">
        <f>D9+D5+D6+D7+D8+D10+D11+D13+D14+D15+D25+D26+D27+D12</f>
        <v>7031179.25</v>
      </c>
      <c r="E33" s="79">
        <f>E9+E5+E6+E7+E8+E10+E11+E13+E14+E15+E25+E26+E27+E12</f>
        <v>30822941.580000002</v>
      </c>
      <c r="F33" s="65">
        <f t="shared" si="2"/>
        <v>18.509920785560912</v>
      </c>
    </row>
    <row r="34" spans="1:6" s="118" customFormat="1" ht="21.75" thickBot="1">
      <c r="A34" s="116" t="s">
        <v>194</v>
      </c>
      <c r="B34" s="24" t="s">
        <v>202</v>
      </c>
      <c r="C34" s="159">
        <f>C35+C36+C37+C38</f>
        <v>21772000</v>
      </c>
      <c r="D34" s="79">
        <f>D35+D36+D37+D38+D39+D40+D41</f>
        <v>2140373.48</v>
      </c>
      <c r="E34" s="79">
        <f>E35+E36+E37+E38+E39+E40+E41</f>
        <v>19731626.52</v>
      </c>
      <c r="F34" s="117">
        <f t="shared" si="2"/>
        <v>9.830853757119236</v>
      </c>
    </row>
    <row r="35" spans="1:6" s="203" customFormat="1" ht="34.5" thickBot="1">
      <c r="A35" s="199" t="s">
        <v>196</v>
      </c>
      <c r="B35" s="197" t="s">
        <v>195</v>
      </c>
      <c r="C35" s="200">
        <v>7832000</v>
      </c>
      <c r="D35" s="198">
        <v>1958000</v>
      </c>
      <c r="E35" s="201">
        <f>C35-D35</f>
        <v>5874000</v>
      </c>
      <c r="F35" s="202">
        <f t="shared" si="2"/>
        <v>25</v>
      </c>
    </row>
    <row r="36" spans="1:6" s="203" customFormat="1" ht="28.5" customHeight="1" thickBot="1">
      <c r="A36" s="204" t="s">
        <v>197</v>
      </c>
      <c r="B36" s="205" t="s">
        <v>167</v>
      </c>
      <c r="C36" s="206">
        <v>13507700</v>
      </c>
      <c r="D36" s="198"/>
      <c r="E36" s="201">
        <f>C36-D36</f>
        <v>13507700</v>
      </c>
      <c r="F36" s="202">
        <f t="shared" si="2"/>
        <v>0</v>
      </c>
    </row>
    <row r="37" spans="1:6" s="203" customFormat="1" ht="30.75" customHeight="1" thickBot="1">
      <c r="A37" s="207" t="s">
        <v>198</v>
      </c>
      <c r="B37" s="208" t="s">
        <v>169</v>
      </c>
      <c r="C37" s="209">
        <v>7600</v>
      </c>
      <c r="D37" s="198">
        <v>0</v>
      </c>
      <c r="E37" s="201">
        <f t="shared" ref="E37:E38" si="4">C37-D37</f>
        <v>7600</v>
      </c>
      <c r="F37" s="210">
        <f>D37/C37*100</f>
        <v>0</v>
      </c>
    </row>
    <row r="38" spans="1:6" s="203" customFormat="1" ht="30.75" customHeight="1" thickBot="1">
      <c r="A38" s="207" t="s">
        <v>199</v>
      </c>
      <c r="B38" s="208" t="s">
        <v>171</v>
      </c>
      <c r="C38" s="209">
        <v>424700</v>
      </c>
      <c r="D38" s="198">
        <v>82373.48</v>
      </c>
      <c r="E38" s="201">
        <f t="shared" si="4"/>
        <v>342326.52</v>
      </c>
      <c r="F38" s="210">
        <f>D38/C38*100</f>
        <v>19.395686366847183</v>
      </c>
    </row>
    <row r="39" spans="1:6" s="203" customFormat="1" ht="33.75" customHeight="1" thickBot="1">
      <c r="A39" s="207" t="s">
        <v>164</v>
      </c>
      <c r="B39" s="208" t="s">
        <v>163</v>
      </c>
      <c r="C39" s="211"/>
      <c r="D39" s="198"/>
      <c r="E39" s="178"/>
      <c r="F39" s="210" t="e">
        <f t="shared" ref="F39:F40" si="5">D39/C39*100</f>
        <v>#DIV/0!</v>
      </c>
    </row>
    <row r="40" spans="1:6" s="180" customFormat="1" ht="16.5" thickBot="1">
      <c r="A40" s="174" t="s">
        <v>200</v>
      </c>
      <c r="B40" s="197" t="s">
        <v>160</v>
      </c>
      <c r="C40" s="198">
        <v>0</v>
      </c>
      <c r="D40" s="198">
        <v>100000</v>
      </c>
      <c r="E40" s="178">
        <v>0</v>
      </c>
      <c r="F40" s="210" t="e">
        <f t="shared" si="5"/>
        <v>#DIV/0!</v>
      </c>
    </row>
    <row r="41" spans="1:6" s="132" customFormat="1" ht="47.25" customHeight="1" thickBot="1">
      <c r="A41" s="137" t="s">
        <v>104</v>
      </c>
      <c r="B41" s="141" t="s">
        <v>105</v>
      </c>
      <c r="C41" s="129">
        <v>0</v>
      </c>
      <c r="D41" s="129">
        <v>0</v>
      </c>
      <c r="E41" s="130">
        <f>C41-D41</f>
        <v>0</v>
      </c>
      <c r="F41" s="142"/>
    </row>
    <row r="42" spans="1:6" ht="16.5" thickBot="1">
      <c r="A42" s="231" t="s">
        <v>109</v>
      </c>
      <c r="B42" s="232"/>
      <c r="C42" s="79">
        <f>C34</f>
        <v>21772000</v>
      </c>
      <c r="D42" s="79">
        <f>D34</f>
        <v>2140373.48</v>
      </c>
      <c r="E42" s="79">
        <f>E34</f>
        <v>19731626.52</v>
      </c>
      <c r="F42" s="65">
        <f t="shared" si="2"/>
        <v>9.830853757119236</v>
      </c>
    </row>
    <row r="43" spans="1:6" ht="28.5" customHeight="1" thickBot="1">
      <c r="A43" s="231" t="s">
        <v>110</v>
      </c>
      <c r="B43" s="232"/>
      <c r="C43" s="79">
        <f>C33+C42</f>
        <v>59758004</v>
      </c>
      <c r="D43" s="79">
        <f>D33+D42</f>
        <v>9171552.7300000004</v>
      </c>
      <c r="E43" s="79">
        <f>E33+E42</f>
        <v>50554568.100000001</v>
      </c>
      <c r="F43" s="65">
        <f t="shared" si="2"/>
        <v>15.347823079900728</v>
      </c>
    </row>
  </sheetData>
  <mergeCells count="12">
    <mergeCell ref="D20:D21"/>
    <mergeCell ref="E20:E21"/>
    <mergeCell ref="F20:F21"/>
    <mergeCell ref="A1:A2"/>
    <mergeCell ref="B1:B2"/>
    <mergeCell ref="C1:C2"/>
    <mergeCell ref="D1:D2"/>
    <mergeCell ref="A33:B33"/>
    <mergeCell ref="A42:B42"/>
    <mergeCell ref="A43:B43"/>
    <mergeCell ref="A20:A21"/>
    <mergeCell ref="C20:C2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D45" sqref="D45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51">
        <v>100</v>
      </c>
      <c r="B2" s="24" t="s">
        <v>119</v>
      </c>
      <c r="C2" s="43">
        <f>SUM(C3:C8)</f>
        <v>23553853.370000001</v>
      </c>
      <c r="D2" s="43">
        <f>SUM(D3:D8)</f>
        <v>3708578.7</v>
      </c>
      <c r="E2" s="55">
        <f>C2-D2</f>
        <v>19845274.670000002</v>
      </c>
      <c r="F2" s="56">
        <f>D2/C2*100</f>
        <v>15.745103961305674</v>
      </c>
    </row>
    <row r="3" spans="1:6" ht="23.25" thickBot="1">
      <c r="A3" s="149">
        <v>102</v>
      </c>
      <c r="B3" s="26" t="s">
        <v>120</v>
      </c>
      <c r="C3" s="44">
        <f>850800+257000</f>
        <v>1107800</v>
      </c>
      <c r="D3" s="44">
        <f>220177.55+42362.14</f>
        <v>262539.69</v>
      </c>
      <c r="E3" s="147">
        <f t="shared" ref="E3:E33" si="0">C3-D3</f>
        <v>845260.31</v>
      </c>
      <c r="F3" s="56">
        <f>D3/C3*100</f>
        <v>23.699195703195521</v>
      </c>
    </row>
    <row r="4" spans="1:6" ht="45.75" thickBot="1">
      <c r="A4" s="149">
        <v>104</v>
      </c>
      <c r="B4" s="87" t="s">
        <v>4</v>
      </c>
      <c r="C4" s="44">
        <f>5216700+400+1575400+172700+181000+20000+15000+16149.37+7600</f>
        <v>7204949.3700000001</v>
      </c>
      <c r="D4" s="44">
        <f>937751.54+228285.57+15057.64+5500+14824.64</f>
        <v>1201419.3899999999</v>
      </c>
      <c r="E4" s="147">
        <f t="shared" si="0"/>
        <v>6003529.9800000004</v>
      </c>
      <c r="F4" s="56">
        <f>D4/C4*100</f>
        <v>16.674917869686571</v>
      </c>
    </row>
    <row r="5" spans="1:6" ht="38.25" customHeight="1" thickBot="1">
      <c r="A5" s="112">
        <v>106</v>
      </c>
      <c r="B5" s="120" t="s">
        <v>152</v>
      </c>
      <c r="C5" s="44">
        <v>298000</v>
      </c>
      <c r="D5" s="44">
        <v>0</v>
      </c>
      <c r="E5" s="147">
        <f t="shared" si="0"/>
        <v>298000</v>
      </c>
      <c r="F5" s="56">
        <f>D5/C5*100</f>
        <v>0</v>
      </c>
    </row>
    <row r="6" spans="1:6" ht="25.5" hidden="1" customHeight="1" thickBot="1">
      <c r="A6" s="149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0" si="1">D7/C7*100</f>
        <v>0</v>
      </c>
    </row>
    <row r="8" spans="1:6" ht="16.5" thickBot="1">
      <c r="A8" s="149">
        <v>113</v>
      </c>
      <c r="B8" s="26" t="s">
        <v>121</v>
      </c>
      <c r="C8" s="44">
        <f>150000+10000+900000+100000+2000000+1299300+392400+455000+188000+2884+4104+116+4968800+600+1500400+284000+2584500+25000+18000+10000</f>
        <v>14893104</v>
      </c>
      <c r="D8" s="45">
        <f>271206.13+17800+291388.53+67425.59+47314.92+28950+115+845453.39+100+212829.53+778.32+441402.9+4097+15730+28.31</f>
        <v>2244619.62</v>
      </c>
      <c r="E8" s="147">
        <f t="shared" si="0"/>
        <v>12648484.379999999</v>
      </c>
      <c r="F8" s="56">
        <f t="shared" si="1"/>
        <v>15.071536598414944</v>
      </c>
    </row>
    <row r="9" spans="1:6" ht="16.5" thickBot="1">
      <c r="A9" s="151">
        <v>200</v>
      </c>
      <c r="B9" s="24" t="s">
        <v>122</v>
      </c>
      <c r="C9" s="43">
        <f>C10</f>
        <v>424700</v>
      </c>
      <c r="D9" s="43">
        <f>D10</f>
        <v>82373.48</v>
      </c>
      <c r="E9" s="55">
        <f t="shared" si="0"/>
        <v>342326.52</v>
      </c>
      <c r="F9" s="56">
        <f t="shared" si="1"/>
        <v>19.395686366847183</v>
      </c>
    </row>
    <row r="10" spans="1:6" ht="16.5" thickBot="1">
      <c r="A10" s="149">
        <v>203</v>
      </c>
      <c r="B10" s="26" t="s">
        <v>123</v>
      </c>
      <c r="C10" s="44">
        <f>325880+98420+400</f>
        <v>424700</v>
      </c>
      <c r="D10" s="44">
        <f>66287.01+16086.47</f>
        <v>82373.48</v>
      </c>
      <c r="E10" s="147">
        <f t="shared" si="0"/>
        <v>342326.52</v>
      </c>
      <c r="F10" s="56">
        <f t="shared" si="1"/>
        <v>19.395686366847183</v>
      </c>
    </row>
    <row r="11" spans="1:6" ht="21.75" thickBot="1">
      <c r="A11" s="151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>
      <c r="A12" s="149">
        <v>309</v>
      </c>
      <c r="B12" s="37" t="s">
        <v>125</v>
      </c>
      <c r="C12" s="150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>
      <c r="A13" s="149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>
      <c r="A14" s="151">
        <v>400</v>
      </c>
      <c r="B14" s="39" t="s">
        <v>64</v>
      </c>
      <c r="C14" s="43">
        <f>SUM(C15:C17)</f>
        <v>21161645.379999999</v>
      </c>
      <c r="D14" s="43">
        <f>SUM(D16:D17)</f>
        <v>26504</v>
      </c>
      <c r="E14" s="55">
        <f t="shared" si="0"/>
        <v>21135141.379999999</v>
      </c>
      <c r="F14" s="56">
        <f t="shared" si="1"/>
        <v>0.12524545952862953</v>
      </c>
    </row>
    <row r="15" spans="1:6" ht="23.25" thickBot="1">
      <c r="A15" s="149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/>
    </row>
    <row r="16" spans="1:6" ht="16.5" thickBot="1">
      <c r="A16" s="149">
        <v>409</v>
      </c>
      <c r="B16" s="26" t="s">
        <v>18</v>
      </c>
      <c r="C16" s="44">
        <f>5082645.38+600000+2282000+6973258+6003742</f>
        <v>20941645.379999999</v>
      </c>
      <c r="D16" s="44">
        <f>26504</f>
        <v>26504</v>
      </c>
      <c r="E16" s="55">
        <f t="shared" si="0"/>
        <v>20915141.379999999</v>
      </c>
      <c r="F16" s="56">
        <f t="shared" si="1"/>
        <v>0.12656121101788995</v>
      </c>
    </row>
    <row r="17" spans="1:6" ht="23.25" thickBot="1">
      <c r="A17" s="149">
        <v>412</v>
      </c>
      <c r="B17" s="26" t="s">
        <v>127</v>
      </c>
      <c r="C17" s="44">
        <f>20000+100000</f>
        <v>120000</v>
      </c>
      <c r="D17" s="44"/>
      <c r="E17" s="147">
        <f t="shared" si="0"/>
        <v>120000</v>
      </c>
      <c r="F17" s="56">
        <f t="shared" si="1"/>
        <v>0</v>
      </c>
    </row>
    <row r="18" spans="1:6" ht="16.5" thickBot="1">
      <c r="A18" s="151">
        <v>500</v>
      </c>
      <c r="B18" s="24" t="s">
        <v>128</v>
      </c>
      <c r="C18" s="43">
        <f>SUM(C19:C20)</f>
        <v>8608535</v>
      </c>
      <c r="D18" s="43">
        <f>SUM(D19:D20)</f>
        <v>634667.43000000005</v>
      </c>
      <c r="E18" s="55">
        <f t="shared" si="0"/>
        <v>7973867.5700000003</v>
      </c>
      <c r="F18" s="56">
        <f t="shared" si="1"/>
        <v>7.3725370228499978</v>
      </c>
    </row>
    <row r="19" spans="1:6" ht="16.5" thickBot="1">
      <c r="A19" s="149">
        <v>502</v>
      </c>
      <c r="B19" s="26" t="s">
        <v>19</v>
      </c>
      <c r="C19" s="44">
        <f>40000+2011900+730000+40000+100000</f>
        <v>2921900</v>
      </c>
      <c r="D19" s="44"/>
      <c r="E19" s="147">
        <f t="shared" si="0"/>
        <v>2921900</v>
      </c>
      <c r="F19" s="56">
        <f t="shared" si="1"/>
        <v>0</v>
      </c>
    </row>
    <row r="20" spans="1:6" ht="16.5" thickBot="1">
      <c r="A20" s="149">
        <v>503</v>
      </c>
      <c r="B20" s="26" t="s">
        <v>22</v>
      </c>
      <c r="C20" s="44">
        <f>2492500+1151335+550000+1492800</f>
        <v>5686635</v>
      </c>
      <c r="D20" s="44">
        <v>634667.43000000005</v>
      </c>
      <c r="E20" s="147">
        <f t="shared" si="0"/>
        <v>5051967.57</v>
      </c>
      <c r="F20" s="56">
        <f t="shared" si="1"/>
        <v>11.160685185527118</v>
      </c>
    </row>
    <row r="21" spans="1:6" ht="16.5" thickBot="1">
      <c r="A21" s="151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>
      <c r="A22" s="149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>
      <c r="A23" s="149">
        <v>707</v>
      </c>
      <c r="B23" s="26" t="s">
        <v>23</v>
      </c>
      <c r="C23" s="44">
        <f>30000</f>
        <v>30000</v>
      </c>
      <c r="D23" s="44"/>
      <c r="E23" s="147">
        <f t="shared" si="0"/>
        <v>30000</v>
      </c>
      <c r="F23" s="56">
        <f t="shared" si="1"/>
        <v>0</v>
      </c>
    </row>
    <row r="24" spans="1:6" ht="16.5" thickBot="1">
      <c r="A24" s="151">
        <v>800</v>
      </c>
      <c r="B24" s="24" t="s">
        <v>130</v>
      </c>
      <c r="C24" s="43">
        <f>SUM(C25:C26)</f>
        <v>8320800</v>
      </c>
      <c r="D24" s="43">
        <f>SUM(D25:D26)</f>
        <v>1703328.8900000001</v>
      </c>
      <c r="E24" s="55">
        <f t="shared" si="0"/>
        <v>6617471.1099999994</v>
      </c>
      <c r="F24" s="56">
        <f t="shared" si="1"/>
        <v>20.470734664936067</v>
      </c>
    </row>
    <row r="25" spans="1:6" ht="16.5" thickBot="1">
      <c r="A25" s="149">
        <v>801</v>
      </c>
      <c r="B25" s="26" t="s">
        <v>131</v>
      </c>
      <c r="C25" s="44">
        <f>3755000+2842300+3500+1370000</f>
        <v>7970800</v>
      </c>
      <c r="D25" s="44">
        <f>677764.56+550844.33+474720</f>
        <v>1703328.8900000001</v>
      </c>
      <c r="E25" s="147">
        <f t="shared" si="0"/>
        <v>6267471.1099999994</v>
      </c>
      <c r="F25" s="56">
        <f t="shared" si="1"/>
        <v>21.369610202238171</v>
      </c>
    </row>
    <row r="26" spans="1:6" ht="16.5" thickBot="1">
      <c r="A26" s="149">
        <v>804</v>
      </c>
      <c r="B26" s="26" t="s">
        <v>132</v>
      </c>
      <c r="C26" s="44">
        <v>350000</v>
      </c>
      <c r="D26" s="44"/>
      <c r="E26" s="147">
        <f t="shared" si="0"/>
        <v>350000</v>
      </c>
      <c r="F26" s="56">
        <f t="shared" si="1"/>
        <v>0</v>
      </c>
    </row>
    <row r="27" spans="1:6" ht="16.5" hidden="1" thickBot="1">
      <c r="A27" s="151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>
      <c r="A28" s="149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>
      <c r="A29" s="151">
        <v>1100</v>
      </c>
      <c r="B29" s="24" t="s">
        <v>135</v>
      </c>
      <c r="C29" s="43">
        <f>C30+C31+C32+C33</f>
        <v>2696600</v>
      </c>
      <c r="D29" s="43">
        <f>D30+D31+D32+D33</f>
        <v>398640.73</v>
      </c>
      <c r="E29" s="55">
        <f t="shared" si="0"/>
        <v>2297959.27</v>
      </c>
      <c r="F29" s="56">
        <f t="shared" si="1"/>
        <v>14.783087220944893</v>
      </c>
    </row>
    <row r="30" spans="1:6" ht="16.5" thickBot="1">
      <c r="A30" s="149">
        <v>1101</v>
      </c>
      <c r="B30" s="26" t="s">
        <v>136</v>
      </c>
      <c r="C30" s="44">
        <f>200000+1035600</f>
        <v>1235600</v>
      </c>
      <c r="D30" s="172">
        <f>32933.64+194735.6</f>
        <v>227669.24</v>
      </c>
      <c r="E30" s="147">
        <f t="shared" si="0"/>
        <v>1007930.76</v>
      </c>
      <c r="F30" s="56">
        <f t="shared" si="1"/>
        <v>18.425804467465198</v>
      </c>
    </row>
    <row r="31" spans="1:6" ht="16.5" customHeight="1" thickBot="1">
      <c r="A31" s="149">
        <v>1102</v>
      </c>
      <c r="B31" s="26" t="s">
        <v>151</v>
      </c>
      <c r="C31" s="49">
        <v>1128800</v>
      </c>
      <c r="D31" s="103">
        <v>107000</v>
      </c>
      <c r="E31" s="147">
        <f t="shared" si="0"/>
        <v>1021800</v>
      </c>
      <c r="F31" s="56">
        <f t="shared" si="1"/>
        <v>9.4790928419560583</v>
      </c>
    </row>
    <row r="32" spans="1:6" ht="21.75" customHeight="1" thickBot="1">
      <c r="A32" s="161">
        <v>1204</v>
      </c>
      <c r="B32" s="162" t="s">
        <v>150</v>
      </c>
      <c r="C32" s="163">
        <v>100000</v>
      </c>
      <c r="D32" s="173">
        <v>6254</v>
      </c>
      <c r="E32" s="147">
        <f t="shared" si="0"/>
        <v>93746</v>
      </c>
      <c r="F32" s="164">
        <f>D32/C32*100</f>
        <v>6.2539999999999996</v>
      </c>
    </row>
    <row r="33" spans="1:6" s="168" customFormat="1" ht="16.5" thickBot="1">
      <c r="A33" s="169">
        <v>1301</v>
      </c>
      <c r="B33" s="170" t="s">
        <v>206</v>
      </c>
      <c r="C33" s="171">
        <v>232200</v>
      </c>
      <c r="D33" s="56">
        <v>57717.49</v>
      </c>
      <c r="E33" s="147">
        <f t="shared" si="0"/>
        <v>174482.51</v>
      </c>
      <c r="F33" s="56">
        <f>D33/C33*100</f>
        <v>24.856800172265288</v>
      </c>
    </row>
    <row r="34" spans="1:6" ht="23.25" hidden="1" thickBot="1">
      <c r="A34" s="165">
        <v>1300</v>
      </c>
      <c r="B34" s="166" t="s">
        <v>161</v>
      </c>
      <c r="C34" s="110">
        <v>0</v>
      </c>
      <c r="D34" s="110"/>
      <c r="E34" s="55"/>
      <c r="F34" s="167"/>
    </row>
    <row r="35" spans="1:6" ht="23.25" hidden="1" thickBot="1">
      <c r="A35" s="106">
        <v>1301</v>
      </c>
      <c r="B35" s="107" t="s">
        <v>161</v>
      </c>
      <c r="C35" s="108">
        <v>0</v>
      </c>
      <c r="D35" s="108">
        <v>0</v>
      </c>
      <c r="E35" s="55">
        <f t="shared" ref="E35:E39" si="2">D35-C35</f>
        <v>0</v>
      </c>
      <c r="F35" s="56" t="e">
        <f t="shared" si="1"/>
        <v>#DIV/0!</v>
      </c>
    </row>
    <row r="36" spans="1:6" ht="16.5" hidden="1" thickBot="1">
      <c r="A36" s="263" t="s">
        <v>139</v>
      </c>
      <c r="B36" s="101" t="s">
        <v>140</v>
      </c>
      <c r="C36" s="264">
        <f>C38</f>
        <v>0</v>
      </c>
      <c r="D36" s="265">
        <f>D38</f>
        <v>0</v>
      </c>
      <c r="E36" s="55">
        <f t="shared" si="2"/>
        <v>0</v>
      </c>
      <c r="F36" s="56" t="e">
        <f t="shared" si="1"/>
        <v>#DIV/0!</v>
      </c>
    </row>
    <row r="37" spans="1:6" ht="16.5" hidden="1" thickBot="1">
      <c r="A37" s="250"/>
      <c r="B37" s="24" t="s">
        <v>141</v>
      </c>
      <c r="C37" s="252"/>
      <c r="D37" s="252"/>
      <c r="E37" s="55">
        <f t="shared" si="2"/>
        <v>0</v>
      </c>
      <c r="F37" s="56"/>
    </row>
    <row r="38" spans="1:6" ht="16.5" hidden="1" thickBot="1">
      <c r="A38" s="245" t="s">
        <v>142</v>
      </c>
      <c r="B38" s="41" t="s">
        <v>143</v>
      </c>
      <c r="C38" s="247">
        <v>0</v>
      </c>
      <c r="D38" s="247">
        <v>0</v>
      </c>
      <c r="E38" s="55">
        <f t="shared" si="2"/>
        <v>0</v>
      </c>
      <c r="F38" s="56" t="e">
        <f t="shared" si="1"/>
        <v>#DIV/0!</v>
      </c>
    </row>
    <row r="39" spans="1:6" ht="16.5" hidden="1" thickBot="1">
      <c r="A39" s="246"/>
      <c r="B39" s="26" t="s">
        <v>144</v>
      </c>
      <c r="C39" s="248"/>
      <c r="D39" s="248"/>
      <c r="E39" s="55">
        <f t="shared" si="2"/>
        <v>0</v>
      </c>
      <c r="F39" s="56"/>
    </row>
    <row r="40" spans="1:6" ht="16.5" thickBot="1">
      <c r="A40" s="151">
        <v>9800</v>
      </c>
      <c r="B40" s="24" t="s">
        <v>145</v>
      </c>
      <c r="C40" s="43">
        <f>C2+C9+C11+C14+C18+C21+C24+C29</f>
        <v>64966133.75</v>
      </c>
      <c r="D40" s="43">
        <f>D2+D9+D11+D14+D18+D21+D24+D29</f>
        <v>6579093.2300000004</v>
      </c>
      <c r="E40" s="43">
        <f>E2+E9+E11+E14+E18+E21+E24+E29</f>
        <v>58387040.520000003</v>
      </c>
      <c r="F40" s="56">
        <f t="shared" si="1"/>
        <v>10.126958232295916</v>
      </c>
    </row>
  </sheetData>
  <mergeCells count="6">
    <mergeCell ref="A36:A37"/>
    <mergeCell ref="C36:C37"/>
    <mergeCell ref="D36:D37"/>
    <mergeCell ref="A38:A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/>
    <row r="5" spans="1:6" s="180" customFormat="1" ht="130.5" customHeight="1" thickBot="1">
      <c r="A5" s="174" t="s">
        <v>176</v>
      </c>
      <c r="B5" s="175" t="s">
        <v>175</v>
      </c>
      <c r="C5" s="176">
        <v>4050000</v>
      </c>
      <c r="D5" s="177">
        <v>1420299.61</v>
      </c>
      <c r="E5" s="178">
        <f>C5-D5</f>
        <v>2629700.3899999997</v>
      </c>
      <c r="F5" s="179">
        <f t="shared" ref="F5:F45" si="0">D5/C5*100</f>
        <v>35.069126172839511</v>
      </c>
    </row>
    <row r="6" spans="1:6" s="180" customFormat="1" ht="149.25" customHeight="1" thickBot="1">
      <c r="A6" s="174" t="s">
        <v>177</v>
      </c>
      <c r="B6" s="175" t="s">
        <v>178</v>
      </c>
      <c r="C6" s="176">
        <v>32000</v>
      </c>
      <c r="D6" s="177">
        <v>9170.75</v>
      </c>
      <c r="E6" s="178">
        <f t="shared" ref="E6:E14" si="1">C6-D6</f>
        <v>22829.25</v>
      </c>
      <c r="F6" s="179">
        <f t="shared" si="0"/>
        <v>28.658593750000001</v>
      </c>
    </row>
    <row r="7" spans="1:6" s="180" customFormat="1" ht="149.25" customHeight="1" thickBot="1">
      <c r="A7" s="174" t="s">
        <v>179</v>
      </c>
      <c r="B7" s="175" t="s">
        <v>180</v>
      </c>
      <c r="C7" s="176">
        <v>3800000</v>
      </c>
      <c r="D7" s="177">
        <v>1849685.7</v>
      </c>
      <c r="E7" s="178">
        <f t="shared" si="1"/>
        <v>1950314.3</v>
      </c>
      <c r="F7" s="179">
        <f t="shared" si="0"/>
        <v>48.67593947368421</v>
      </c>
    </row>
    <row r="8" spans="1:6" s="180" customFormat="1" ht="149.25" customHeight="1" thickBot="1">
      <c r="A8" s="174" t="s">
        <v>181</v>
      </c>
      <c r="B8" s="175" t="s">
        <v>182</v>
      </c>
      <c r="C8" s="176">
        <v>0</v>
      </c>
      <c r="D8" s="177">
        <v>-281356.94</v>
      </c>
      <c r="E8" s="178">
        <v>0</v>
      </c>
      <c r="F8" s="179" t="e">
        <f t="shared" si="0"/>
        <v>#DIV/0!</v>
      </c>
    </row>
    <row r="9" spans="1:6" s="180" customFormat="1" ht="38.25" customHeight="1" thickBot="1">
      <c r="A9" s="174" t="s">
        <v>71</v>
      </c>
      <c r="B9" s="175" t="s">
        <v>72</v>
      </c>
      <c r="C9" s="176">
        <v>13040000</v>
      </c>
      <c r="D9" s="177">
        <v>5524232.2800000003</v>
      </c>
      <c r="E9" s="178">
        <f t="shared" si="1"/>
        <v>7515767.7199999997</v>
      </c>
      <c r="F9" s="179">
        <f t="shared" si="0"/>
        <v>42.363744478527607</v>
      </c>
    </row>
    <row r="10" spans="1:6" s="180" customFormat="1" ht="108" customHeight="1" thickBot="1">
      <c r="A10" s="174" t="s">
        <v>184</v>
      </c>
      <c r="B10" s="175" t="s">
        <v>185</v>
      </c>
      <c r="C10" s="176">
        <v>0</v>
      </c>
      <c r="D10" s="177">
        <v>5936.49</v>
      </c>
      <c r="E10" s="178"/>
      <c r="F10" s="179" t="e">
        <f t="shared" si="0"/>
        <v>#DIV/0!</v>
      </c>
    </row>
    <row r="11" spans="1:6" s="180" customFormat="1" ht="33" customHeight="1" thickBot="1">
      <c r="A11" s="174" t="s">
        <v>186</v>
      </c>
      <c r="B11" s="175" t="s">
        <v>187</v>
      </c>
      <c r="C11" s="176">
        <v>0</v>
      </c>
      <c r="D11" s="177">
        <v>-17408.89</v>
      </c>
      <c r="E11" s="178"/>
      <c r="F11" s="179" t="e">
        <f t="shared" si="0"/>
        <v>#DIV/0!</v>
      </c>
    </row>
    <row r="12" spans="1:6" s="180" customFormat="1" ht="88.5" customHeight="1" thickBot="1">
      <c r="A12" s="181" t="s">
        <v>203</v>
      </c>
      <c r="B12" s="182" t="s">
        <v>204</v>
      </c>
      <c r="C12" s="183">
        <v>0</v>
      </c>
      <c r="D12" s="184">
        <v>56954.7</v>
      </c>
      <c r="E12" s="178"/>
      <c r="F12" s="185" t="e">
        <f t="shared" si="0"/>
        <v>#DIV/0!</v>
      </c>
    </row>
    <row r="13" spans="1:6" s="180" customFormat="1" ht="25.5" customHeight="1" thickBot="1">
      <c r="A13" s="186" t="s">
        <v>188</v>
      </c>
      <c r="B13" s="187" t="s">
        <v>74</v>
      </c>
      <c r="C13" s="188">
        <v>1878000</v>
      </c>
      <c r="D13" s="189">
        <v>1882655.5</v>
      </c>
      <c r="E13" s="178">
        <v>0</v>
      </c>
      <c r="F13" s="179">
        <f t="shared" si="0"/>
        <v>100.24789669861556</v>
      </c>
    </row>
    <row r="14" spans="1:6" s="180" customFormat="1" ht="19.5" customHeight="1" thickBot="1">
      <c r="A14" s="186" t="s">
        <v>75</v>
      </c>
      <c r="B14" s="187" t="s">
        <v>76</v>
      </c>
      <c r="C14" s="188">
        <v>5546800</v>
      </c>
      <c r="D14" s="189">
        <v>407858.86</v>
      </c>
      <c r="E14" s="178">
        <f t="shared" si="1"/>
        <v>5138941.1399999997</v>
      </c>
      <c r="F14" s="179">
        <f t="shared" si="0"/>
        <v>7.3530478834643391</v>
      </c>
    </row>
    <row r="15" spans="1:6" s="180" customFormat="1" ht="13.5" customHeight="1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1989242.0599999998</v>
      </c>
      <c r="E15" s="192">
        <f>SUM(E17:E18)</f>
        <v>7578757.9400000004</v>
      </c>
      <c r="F15" s="179">
        <f t="shared" si="0"/>
        <v>20.790573369565216</v>
      </c>
    </row>
    <row r="16" spans="1:6" s="180" customFormat="1" ht="13.5" hidden="1" customHeight="1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>
      <c r="A17" s="174" t="s">
        <v>155</v>
      </c>
      <c r="B17" s="197" t="s">
        <v>156</v>
      </c>
      <c r="C17" s="198">
        <v>4160000</v>
      </c>
      <c r="D17" s="76">
        <v>1630467.63</v>
      </c>
      <c r="E17" s="178">
        <f>C17-D17</f>
        <v>2529532.37</v>
      </c>
      <c r="F17" s="179">
        <f t="shared" si="0"/>
        <v>39.193933413461536</v>
      </c>
    </row>
    <row r="18" spans="1:6" s="180" customFormat="1" ht="45.75" thickBot="1">
      <c r="A18" s="174" t="s">
        <v>157</v>
      </c>
      <c r="B18" s="197" t="s">
        <v>158</v>
      </c>
      <c r="C18" s="198">
        <v>5408000</v>
      </c>
      <c r="D18" s="76">
        <v>358774.43</v>
      </c>
      <c r="E18" s="178">
        <f>C18-D18</f>
        <v>5049225.57</v>
      </c>
      <c r="F18" s="179">
        <f t="shared" si="0"/>
        <v>6.6341425665680482</v>
      </c>
    </row>
    <row r="19" spans="1:6" ht="23.25" thickBot="1">
      <c r="A19" s="212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>
      <c r="A21" s="234"/>
      <c r="B21" s="21" t="s">
        <v>79</v>
      </c>
      <c r="C21" s="258"/>
      <c r="D21" s="236"/>
      <c r="E21" s="266"/>
      <c r="F21" s="254"/>
    </row>
    <row r="22" spans="1:6" ht="38.25" customHeight="1" thickBot="1">
      <c r="A22" s="212" t="s">
        <v>88</v>
      </c>
      <c r="B22" s="23" t="s">
        <v>112</v>
      </c>
      <c r="C22" s="78">
        <v>0</v>
      </c>
      <c r="D22" s="74">
        <v>0</v>
      </c>
      <c r="E22" s="160">
        <f t="shared" ref="E22:E32" si="2">C22-D22</f>
        <v>0</v>
      </c>
      <c r="F22" s="65"/>
    </row>
    <row r="23" spans="1:6" ht="48" customHeight="1" thickBot="1">
      <c r="A23" s="212" t="s">
        <v>89</v>
      </c>
      <c r="B23" s="23" t="s">
        <v>113</v>
      </c>
      <c r="C23" s="78">
        <v>0</v>
      </c>
      <c r="D23" s="75">
        <v>0</v>
      </c>
      <c r="E23" s="59">
        <f t="shared" si="2"/>
        <v>0</v>
      </c>
      <c r="F23" s="65"/>
    </row>
    <row r="24" spans="1:6" ht="43.5" customHeight="1" thickBot="1">
      <c r="A24" s="212" t="s">
        <v>90</v>
      </c>
      <c r="B24" s="23" t="s">
        <v>114</v>
      </c>
      <c r="C24" s="78">
        <v>0</v>
      </c>
      <c r="D24" s="76">
        <v>0</v>
      </c>
      <c r="E24" s="59">
        <f t="shared" si="2"/>
        <v>0</v>
      </c>
      <c r="F24" s="65"/>
    </row>
    <row r="25" spans="1:6" s="180" customFormat="1" ht="36" customHeight="1" thickBot="1">
      <c r="A25" s="174" t="s">
        <v>91</v>
      </c>
      <c r="B25" s="175" t="s">
        <v>92</v>
      </c>
      <c r="C25" s="176">
        <v>61204</v>
      </c>
      <c r="D25" s="177">
        <v>33384</v>
      </c>
      <c r="E25" s="178">
        <f t="shared" si="2"/>
        <v>27820</v>
      </c>
      <c r="F25" s="179">
        <f t="shared" si="0"/>
        <v>54.54545454545454</v>
      </c>
    </row>
    <row r="26" spans="1:6" s="180" customFormat="1" ht="85.5" customHeight="1" thickBot="1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0"/>
        <v>#DIV/0!</v>
      </c>
    </row>
    <row r="27" spans="1:6" s="180" customFormat="1" ht="83.25" customHeight="1" thickBot="1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0"/>
        <v>0</v>
      </c>
    </row>
    <row r="28" spans="1:6" ht="55.5" customHeight="1" thickBot="1">
      <c r="A28" s="212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0"/>
        <v>#VALUE!</v>
      </c>
    </row>
    <row r="29" spans="1:6" ht="24.75" customHeight="1" thickBot="1">
      <c r="A29" s="212" t="s">
        <v>97</v>
      </c>
      <c r="B29" s="25" t="s">
        <v>98</v>
      </c>
      <c r="C29" s="77">
        <v>0</v>
      </c>
      <c r="D29" s="28">
        <v>0</v>
      </c>
      <c r="E29" s="59">
        <f t="shared" si="2"/>
        <v>0</v>
      </c>
      <c r="F29" s="65"/>
    </row>
    <row r="30" spans="1:6" ht="28.5" customHeight="1" thickBot="1">
      <c r="A30" s="212" t="s">
        <v>147</v>
      </c>
      <c r="B30" s="25" t="s">
        <v>148</v>
      </c>
      <c r="C30" s="77">
        <v>0</v>
      </c>
      <c r="D30" s="28">
        <v>0</v>
      </c>
      <c r="E30" s="59">
        <f t="shared" si="2"/>
        <v>0</v>
      </c>
      <c r="F30" s="65"/>
    </row>
    <row r="31" spans="1:6" ht="33.75" customHeight="1" thickBot="1">
      <c r="A31" s="212" t="s">
        <v>100</v>
      </c>
      <c r="B31" s="25" t="s">
        <v>101</v>
      </c>
      <c r="C31" s="77">
        <v>0</v>
      </c>
      <c r="D31" s="28">
        <v>0</v>
      </c>
      <c r="E31" s="59">
        <f t="shared" si="2"/>
        <v>0</v>
      </c>
      <c r="F31" s="65"/>
    </row>
    <row r="32" spans="1:6" ht="37.5" customHeight="1" thickBot="1">
      <c r="A32" s="212" t="s">
        <v>102</v>
      </c>
      <c r="B32" s="25" t="s">
        <v>103</v>
      </c>
      <c r="C32" s="77">
        <v>0</v>
      </c>
      <c r="D32" s="28">
        <v>0</v>
      </c>
      <c r="E32" s="59">
        <f t="shared" si="2"/>
        <v>0</v>
      </c>
      <c r="F32" s="65"/>
    </row>
    <row r="33" spans="1:6" ht="15.75" customHeight="1" thickBot="1">
      <c r="A33" s="231" t="s">
        <v>106</v>
      </c>
      <c r="B33" s="232"/>
      <c r="C33" s="79">
        <f>C9+C5+C6+C7+C8+C10+C11+C13+C14+C15+C25+C26+C27</f>
        <v>37986004</v>
      </c>
      <c r="D33" s="79">
        <f>D9+D5+D6+D7+D8+D10+D11+D13+D14+D15+D25+D26+D27+D12</f>
        <v>12888654.119999999</v>
      </c>
      <c r="E33" s="79">
        <f>E9+E5+E6+E7+E8+E10+E11+E13+E14+E15+E25+E26+E27+E12</f>
        <v>24874130.740000002</v>
      </c>
      <c r="F33" s="65">
        <f t="shared" si="0"/>
        <v>33.930007799714865</v>
      </c>
    </row>
    <row r="34" spans="1:6" s="118" customFormat="1" ht="21.75" thickBot="1">
      <c r="A34" s="116" t="s">
        <v>194</v>
      </c>
      <c r="B34" s="24" t="s">
        <v>202</v>
      </c>
      <c r="C34" s="159">
        <f>C35+C38+C39+C40+C36+C41+C37+C42</f>
        <v>45044000</v>
      </c>
      <c r="D34" s="159">
        <f>D35+D38+D39+D40+D36+D41+D37+D42</f>
        <v>11716598.5</v>
      </c>
      <c r="E34" s="159">
        <f>E35+E38+E39+E40+E36+E41+E37+E42</f>
        <v>33327401.5</v>
      </c>
      <c r="F34" s="117">
        <f t="shared" si="0"/>
        <v>26.011452135689549</v>
      </c>
    </row>
    <row r="35" spans="1:6" s="203" customFormat="1" ht="34.5" thickBot="1">
      <c r="A35" s="199" t="s">
        <v>196</v>
      </c>
      <c r="B35" s="197" t="s">
        <v>195</v>
      </c>
      <c r="C35" s="200">
        <v>7832000</v>
      </c>
      <c r="D35" s="198">
        <v>5874000</v>
      </c>
      <c r="E35" s="201">
        <f>C35-D35</f>
        <v>1958000</v>
      </c>
      <c r="F35" s="202">
        <f t="shared" si="0"/>
        <v>75</v>
      </c>
    </row>
    <row r="36" spans="1:6" s="203" customFormat="1" ht="23.25" thickBot="1">
      <c r="A36" s="199" t="s">
        <v>207</v>
      </c>
      <c r="B36" s="197" t="s">
        <v>208</v>
      </c>
      <c r="C36" s="200">
        <v>4500000</v>
      </c>
      <c r="D36" s="198">
        <v>4500000</v>
      </c>
      <c r="E36" s="201">
        <f>C36-D36</f>
        <v>0</v>
      </c>
      <c r="F36" s="202">
        <f t="shared" si="0"/>
        <v>100</v>
      </c>
    </row>
    <row r="37" spans="1:6" s="203" customFormat="1" ht="34.5" thickBot="1">
      <c r="A37" s="199" t="s">
        <v>209</v>
      </c>
      <c r="B37" s="197" t="s">
        <v>210</v>
      </c>
      <c r="C37" s="200">
        <v>18072000</v>
      </c>
      <c r="D37" s="198">
        <v>0</v>
      </c>
      <c r="E37" s="201">
        <f>C37-D37</f>
        <v>18072000</v>
      </c>
      <c r="F37" s="202">
        <f t="shared" si="0"/>
        <v>0</v>
      </c>
    </row>
    <row r="38" spans="1:6" s="203" customFormat="1" ht="28.5" customHeight="1" thickBot="1">
      <c r="A38" s="204" t="s">
        <v>197</v>
      </c>
      <c r="B38" s="205" t="s">
        <v>167</v>
      </c>
      <c r="C38" s="206">
        <v>13507700</v>
      </c>
      <c r="D38" s="198">
        <v>1056097.8400000001</v>
      </c>
      <c r="E38" s="201">
        <f>C38-D38</f>
        <v>12451602.16</v>
      </c>
      <c r="F38" s="202">
        <f t="shared" si="0"/>
        <v>7.8184875293351208</v>
      </c>
    </row>
    <row r="39" spans="1:6" s="203" customFormat="1" ht="30.75" customHeight="1" thickBot="1">
      <c r="A39" s="207" t="s">
        <v>198</v>
      </c>
      <c r="B39" s="208" t="s">
        <v>169</v>
      </c>
      <c r="C39" s="209">
        <v>7600</v>
      </c>
      <c r="D39" s="198">
        <v>0</v>
      </c>
      <c r="E39" s="201">
        <f t="shared" ref="E39:E41" si="3">C39-D39</f>
        <v>7600</v>
      </c>
      <c r="F39" s="210">
        <f>D39/C39*100</f>
        <v>0</v>
      </c>
    </row>
    <row r="40" spans="1:6" s="203" customFormat="1" ht="30.75" customHeight="1" thickBot="1">
      <c r="A40" s="207" t="s">
        <v>199</v>
      </c>
      <c r="B40" s="208" t="s">
        <v>171</v>
      </c>
      <c r="C40" s="209">
        <v>424700</v>
      </c>
      <c r="D40" s="198">
        <v>186500.66</v>
      </c>
      <c r="E40" s="201">
        <f t="shared" si="3"/>
        <v>238199.34</v>
      </c>
      <c r="F40" s="210">
        <f>D40/C40*100</f>
        <v>43.913506004238286</v>
      </c>
    </row>
    <row r="41" spans="1:6" s="203" customFormat="1" ht="33.75" customHeight="1" thickBot="1">
      <c r="A41" s="207" t="s">
        <v>211</v>
      </c>
      <c r="B41" s="208" t="s">
        <v>163</v>
      </c>
      <c r="C41" s="211">
        <v>600000</v>
      </c>
      <c r="D41" s="198"/>
      <c r="E41" s="201">
        <f t="shared" si="3"/>
        <v>600000</v>
      </c>
      <c r="F41" s="210">
        <f t="shared" ref="F41:F42" si="4">D41/C41*100</f>
        <v>0</v>
      </c>
    </row>
    <row r="42" spans="1:6" s="180" customFormat="1" ht="16.5" thickBot="1">
      <c r="A42" s="174" t="s">
        <v>200</v>
      </c>
      <c r="B42" s="197" t="s">
        <v>160</v>
      </c>
      <c r="C42" s="198">
        <v>100000</v>
      </c>
      <c r="D42" s="198">
        <v>100000</v>
      </c>
      <c r="E42" s="178">
        <v>0</v>
      </c>
      <c r="F42" s="210">
        <f t="shared" si="4"/>
        <v>100</v>
      </c>
    </row>
    <row r="43" spans="1:6" s="132" customFormat="1" ht="47.25" customHeight="1" thickBot="1">
      <c r="A43" s="137" t="s">
        <v>104</v>
      </c>
      <c r="B43" s="141" t="s">
        <v>105</v>
      </c>
      <c r="C43" s="129">
        <v>0</v>
      </c>
      <c r="D43" s="129">
        <v>0</v>
      </c>
      <c r="E43" s="130">
        <f>C43-D43</f>
        <v>0</v>
      </c>
      <c r="F43" s="142"/>
    </row>
    <row r="44" spans="1:6" ht="16.5" thickBot="1">
      <c r="A44" s="231" t="s">
        <v>109</v>
      </c>
      <c r="B44" s="232"/>
      <c r="C44" s="79">
        <f>C34</f>
        <v>45044000</v>
      </c>
      <c r="D44" s="79">
        <f>D34</f>
        <v>11716598.5</v>
      </c>
      <c r="E44" s="79">
        <f>E34</f>
        <v>33327401.5</v>
      </c>
      <c r="F44" s="65">
        <f t="shared" si="0"/>
        <v>26.011452135689549</v>
      </c>
    </row>
    <row r="45" spans="1:6" ht="28.5" customHeight="1" thickBot="1">
      <c r="A45" s="231" t="s">
        <v>110</v>
      </c>
      <c r="B45" s="232"/>
      <c r="C45" s="79">
        <f>C33+C44</f>
        <v>83030004</v>
      </c>
      <c r="D45" s="79">
        <f>D33+D44</f>
        <v>24605252.619999997</v>
      </c>
      <c r="E45" s="79">
        <f>E33+E44</f>
        <v>58201532.240000002</v>
      </c>
      <c r="F45" s="65">
        <f t="shared" si="0"/>
        <v>29.634170100726475</v>
      </c>
    </row>
  </sheetData>
  <mergeCells count="12">
    <mergeCell ref="E20:E21"/>
    <mergeCell ref="F20:F21"/>
    <mergeCell ref="A33:B33"/>
    <mergeCell ref="A44:B44"/>
    <mergeCell ref="A45:B45"/>
    <mergeCell ref="A1:A2"/>
    <mergeCell ref="B1:B2"/>
    <mergeCell ref="C1:C2"/>
    <mergeCell ref="D1:D2"/>
    <mergeCell ref="A20:A21"/>
    <mergeCell ref="C20:C21"/>
    <mergeCell ref="D20:D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215">
        <v>100</v>
      </c>
      <c r="B2" s="24" t="s">
        <v>119</v>
      </c>
      <c r="C2" s="43">
        <f>SUM(C3:C8)</f>
        <v>21649703.370000001</v>
      </c>
      <c r="D2" s="43">
        <f>SUM(D3:D8)</f>
        <v>8429931.0299999993</v>
      </c>
      <c r="E2" s="55">
        <f>C2-D2</f>
        <v>13219772.340000002</v>
      </c>
      <c r="F2" s="56">
        <f>D2/C2*100</f>
        <v>38.937859267306898</v>
      </c>
    </row>
    <row r="3" spans="1:6" ht="23.25" thickBot="1">
      <c r="A3" s="213">
        <v>102</v>
      </c>
      <c r="B3" s="26" t="s">
        <v>120</v>
      </c>
      <c r="C3" s="44">
        <f>850800+257000</f>
        <v>1107800</v>
      </c>
      <c r="D3" s="44">
        <f>379530.78+106874.2</f>
        <v>486404.98000000004</v>
      </c>
      <c r="E3" s="147">
        <f t="shared" ref="E3:E34" si="0">C3-D3</f>
        <v>621395.02</v>
      </c>
      <c r="F3" s="56">
        <f>D3/C3*100</f>
        <v>43.907291929951256</v>
      </c>
    </row>
    <row r="4" spans="1:6" ht="45.75" thickBot="1">
      <c r="A4" s="213">
        <v>104</v>
      </c>
      <c r="B4" s="87" t="s">
        <v>4</v>
      </c>
      <c r="C4" s="44">
        <f>5216700+400+1575400+172700+181000+15850+15000+16149.37+7600</f>
        <v>7200799.3700000001</v>
      </c>
      <c r="D4" s="44">
        <f>2191628.57+600708.33+86822.01+5500+14824.64</f>
        <v>2899483.55</v>
      </c>
      <c r="E4" s="147">
        <f t="shared" si="0"/>
        <v>4301315.82</v>
      </c>
      <c r="F4" s="56">
        <f>D4/C4*100</f>
        <v>40.266134369467927</v>
      </c>
    </row>
    <row r="5" spans="1:6" ht="38.25" customHeight="1" thickBot="1">
      <c r="A5" s="112">
        <v>106</v>
      </c>
      <c r="B5" s="120" t="s">
        <v>152</v>
      </c>
      <c r="C5" s="44">
        <v>298000</v>
      </c>
      <c r="D5" s="44">
        <v>149000</v>
      </c>
      <c r="E5" s="147">
        <f t="shared" si="0"/>
        <v>149000</v>
      </c>
      <c r="F5" s="56">
        <f>D5/C5*100</f>
        <v>50</v>
      </c>
    </row>
    <row r="6" spans="1:6" ht="25.5" hidden="1" customHeight="1">
      <c r="A6" s="213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1" si="1">D7/C7*100</f>
        <v>0</v>
      </c>
    </row>
    <row r="8" spans="1:6" ht="16.5" thickBot="1">
      <c r="A8" s="213">
        <v>113</v>
      </c>
      <c r="B8" s="26" t="s">
        <v>121</v>
      </c>
      <c r="C8" s="44">
        <f>150000+10000+900000+100000+1299300+392400+455000+188000+2884+4104+116+100000+4968800+600+1500400+284000+2584500+25000+18000+10000</f>
        <v>12993104</v>
      </c>
      <c r="D8" s="45">
        <f>286206.13+87800+642168.2+166384.4+170602.43+46250+115.4+1974271.34+250+535082.93+83555.92+882500.44+4097+15730+28.31</f>
        <v>4895042.4999999991</v>
      </c>
      <c r="E8" s="147">
        <f t="shared" si="0"/>
        <v>8098061.5000000009</v>
      </c>
      <c r="F8" s="56">
        <f t="shared" si="1"/>
        <v>37.674157768613256</v>
      </c>
    </row>
    <row r="9" spans="1:6" ht="16.5" thickBot="1">
      <c r="A9" s="215">
        <v>200</v>
      </c>
      <c r="B9" s="24" t="s">
        <v>122</v>
      </c>
      <c r="C9" s="43">
        <f>C10</f>
        <v>424700</v>
      </c>
      <c r="D9" s="43">
        <f>D10</f>
        <v>186500.65999999997</v>
      </c>
      <c r="E9" s="55">
        <f t="shared" si="0"/>
        <v>238199.34000000003</v>
      </c>
      <c r="F9" s="56">
        <f t="shared" si="1"/>
        <v>43.913506004238279</v>
      </c>
    </row>
    <row r="10" spans="1:6" ht="16.5" thickBot="1">
      <c r="A10" s="213">
        <v>203</v>
      </c>
      <c r="B10" s="26" t="s">
        <v>123</v>
      </c>
      <c r="C10" s="44">
        <f>325880+98420+400</f>
        <v>424700</v>
      </c>
      <c r="D10" s="44">
        <f>147648.58+38852.08</f>
        <v>186500.65999999997</v>
      </c>
      <c r="E10" s="147">
        <f t="shared" si="0"/>
        <v>238199.34000000003</v>
      </c>
      <c r="F10" s="56">
        <f t="shared" si="1"/>
        <v>43.913506004238279</v>
      </c>
    </row>
    <row r="11" spans="1:6" ht="21.75" thickBot="1">
      <c r="A11" s="215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>
      <c r="A12" s="213">
        <v>309</v>
      </c>
      <c r="B12" s="37" t="s">
        <v>125</v>
      </c>
      <c r="C12" s="214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>
      <c r="A13" s="213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>
      <c r="A14" s="215">
        <v>400</v>
      </c>
      <c r="B14" s="39" t="s">
        <v>64</v>
      </c>
      <c r="C14" s="43">
        <f>SUM(C15:C17)</f>
        <v>21161645.379999999</v>
      </c>
      <c r="D14" s="43">
        <f>SUM(D16:D17)</f>
        <v>2087715</v>
      </c>
      <c r="E14" s="55">
        <f t="shared" si="0"/>
        <v>19073930.379999999</v>
      </c>
      <c r="F14" s="56">
        <f t="shared" si="1"/>
        <v>9.8655608413753697</v>
      </c>
    </row>
    <row r="15" spans="1:6" ht="23.25" thickBot="1">
      <c r="A15" s="213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>
        <f t="shared" si="1"/>
        <v>0</v>
      </c>
    </row>
    <row r="16" spans="1:6" ht="16.5" thickBot="1">
      <c r="A16" s="213">
        <v>409</v>
      </c>
      <c r="B16" s="26" t="s">
        <v>18</v>
      </c>
      <c r="C16" s="44">
        <f>5033978.38+600000+48667+2282000+6973258+6003742</f>
        <v>20941645.379999999</v>
      </c>
      <c r="D16" s="44">
        <f>1942439+135966</f>
        <v>2078405</v>
      </c>
      <c r="E16" s="147">
        <f t="shared" si="0"/>
        <v>18863240.379999999</v>
      </c>
      <c r="F16" s="56">
        <f t="shared" si="1"/>
        <v>9.9247454642935988</v>
      </c>
    </row>
    <row r="17" spans="1:6" ht="23.25" thickBot="1">
      <c r="A17" s="213">
        <v>412</v>
      </c>
      <c r="B17" s="26" t="s">
        <v>127</v>
      </c>
      <c r="C17" s="44">
        <f>20000+100000</f>
        <v>120000</v>
      </c>
      <c r="D17" s="44">
        <v>9310</v>
      </c>
      <c r="E17" s="147">
        <f t="shared" si="0"/>
        <v>110690</v>
      </c>
      <c r="F17" s="56">
        <f t="shared" si="1"/>
        <v>7.7583333333333337</v>
      </c>
    </row>
    <row r="18" spans="1:6" ht="16.5" thickBot="1">
      <c r="A18" s="215">
        <v>500</v>
      </c>
      <c r="B18" s="24" t="s">
        <v>128</v>
      </c>
      <c r="C18" s="43">
        <f>SUM(C19:C20)</f>
        <v>3921900</v>
      </c>
      <c r="D18" s="43">
        <f>SUM(D19:D20)</f>
        <v>3342096.47</v>
      </c>
      <c r="E18" s="55">
        <f t="shared" si="0"/>
        <v>579803.5299999998</v>
      </c>
      <c r="F18" s="56">
        <f t="shared" si="1"/>
        <v>85.21625921109667</v>
      </c>
    </row>
    <row r="19" spans="1:6" ht="16.5" thickBot="1">
      <c r="A19" s="213">
        <v>502</v>
      </c>
      <c r="B19" s="26" t="s">
        <v>19</v>
      </c>
      <c r="C19" s="44">
        <f>24000+40000+1987900+1730000+40000+100000</f>
        <v>3921900</v>
      </c>
      <c r="D19" s="44">
        <f>23468.84+9315+1173442.05</f>
        <v>1206225.8900000001</v>
      </c>
      <c r="E19" s="147">
        <f t="shared" si="0"/>
        <v>2715674.11</v>
      </c>
      <c r="F19" s="56">
        <f t="shared" si="1"/>
        <v>30.756161299370206</v>
      </c>
    </row>
    <row r="20" spans="1:6" ht="16.5" thickBot="1">
      <c r="A20" s="213">
        <v>503</v>
      </c>
      <c r="B20" s="26" t="s">
        <v>22</v>
      </c>
      <c r="C20" s="44" t="s">
        <v>63</v>
      </c>
      <c r="D20" s="44">
        <f>1525553.58+210000+400317</f>
        <v>2135870.58</v>
      </c>
      <c r="E20" s="147" t="e">
        <f t="shared" si="0"/>
        <v>#VALUE!</v>
      </c>
      <c r="F20" s="56" t="e">
        <f t="shared" si="1"/>
        <v>#VALUE!</v>
      </c>
    </row>
    <row r="21" spans="1:6" ht="16.5" thickBot="1">
      <c r="A21" s="215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>
      <c r="A22" s="213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>
      <c r="A23" s="213">
        <v>707</v>
      </c>
      <c r="B23" s="26" t="s">
        <v>23</v>
      </c>
      <c r="C23" s="44">
        <f>30000</f>
        <v>30000</v>
      </c>
      <c r="D23" s="44">
        <v>0</v>
      </c>
      <c r="E23" s="147">
        <f t="shared" si="0"/>
        <v>30000</v>
      </c>
      <c r="F23" s="56">
        <f t="shared" si="1"/>
        <v>0</v>
      </c>
    </row>
    <row r="24" spans="1:6" ht="16.5" thickBot="1">
      <c r="A24" s="215">
        <v>800</v>
      </c>
      <c r="B24" s="24" t="s">
        <v>130</v>
      </c>
      <c r="C24" s="43">
        <f>SUM(C25:C26)</f>
        <v>29106950</v>
      </c>
      <c r="D24" s="43">
        <f>SUM(D25:D26)</f>
        <v>3837284.62</v>
      </c>
      <c r="E24" s="55">
        <f t="shared" si="0"/>
        <v>25269665.379999999</v>
      </c>
      <c r="F24" s="56">
        <f t="shared" si="1"/>
        <v>13.183396474037986</v>
      </c>
    </row>
    <row r="25" spans="1:6" ht="16.5" thickBot="1">
      <c r="A25" s="213">
        <v>801</v>
      </c>
      <c r="B25" s="26" t="s">
        <v>131</v>
      </c>
      <c r="C25" s="44">
        <f>3755000+600000+20082000+2842300+3500+1474150</f>
        <v>28756950</v>
      </c>
      <c r="D25" s="44">
        <f>1389711.57+1075270.12+1245109.93</f>
        <v>3710091.62</v>
      </c>
      <c r="E25" s="147">
        <f t="shared" si="0"/>
        <v>25046858.379999999</v>
      </c>
      <c r="F25" s="56">
        <f t="shared" si="1"/>
        <v>12.901547695426672</v>
      </c>
    </row>
    <row r="26" spans="1:6" ht="16.5" thickBot="1">
      <c r="A26" s="213">
        <v>804</v>
      </c>
      <c r="B26" s="26" t="s">
        <v>132</v>
      </c>
      <c r="C26" s="44">
        <v>350000</v>
      </c>
      <c r="D26" s="44">
        <f>127193</f>
        <v>127193</v>
      </c>
      <c r="E26" s="147">
        <f t="shared" si="0"/>
        <v>222807</v>
      </c>
      <c r="F26" s="56">
        <f t="shared" si="1"/>
        <v>36.340857142857139</v>
      </c>
    </row>
    <row r="27" spans="1:6" ht="16.5" hidden="1" thickBot="1">
      <c r="A27" s="215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>
      <c r="A28" s="213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>
      <c r="A29" s="216">
        <v>1101</v>
      </c>
      <c r="B29" s="26" t="s">
        <v>212</v>
      </c>
      <c r="C29" s="44">
        <f>200000</f>
        <v>200000</v>
      </c>
      <c r="D29" s="44">
        <v>82716.42</v>
      </c>
      <c r="E29" s="147">
        <v>117283.58</v>
      </c>
      <c r="F29" s="56">
        <f t="shared" si="1"/>
        <v>41.35821</v>
      </c>
    </row>
    <row r="30" spans="1:6" ht="16.5" thickBot="1">
      <c r="A30" s="215">
        <v>1100</v>
      </c>
      <c r="B30" s="24" t="s">
        <v>135</v>
      </c>
      <c r="C30" s="43">
        <f>C31+C32+C33+C34</f>
        <v>4886600</v>
      </c>
      <c r="D30" s="43">
        <f>D31+D32+D33+D34</f>
        <v>1005372.4899999999</v>
      </c>
      <c r="E30" s="55">
        <f t="shared" si="0"/>
        <v>3881227.5100000002</v>
      </c>
      <c r="F30" s="56">
        <f t="shared" si="1"/>
        <v>20.574069700814469</v>
      </c>
    </row>
    <row r="31" spans="1:6" ht="16.5" thickBot="1">
      <c r="A31" s="213">
        <v>1101</v>
      </c>
      <c r="B31" s="26" t="s">
        <v>136</v>
      </c>
      <c r="C31" s="44">
        <f>1035600</f>
        <v>1035600</v>
      </c>
      <c r="D31" s="172">
        <f>442316.16</f>
        <v>442316.16</v>
      </c>
      <c r="E31" s="147">
        <f t="shared" si="0"/>
        <v>593283.84000000008</v>
      </c>
      <c r="F31" s="56">
        <f t="shared" si="1"/>
        <v>42.711100811123984</v>
      </c>
    </row>
    <row r="32" spans="1:6" ht="16.5" customHeight="1" thickBot="1">
      <c r="A32" s="213">
        <v>1102</v>
      </c>
      <c r="B32" s="26" t="s">
        <v>151</v>
      </c>
      <c r="C32" s="49">
        <f>3628800</f>
        <v>3628800</v>
      </c>
      <c r="D32" s="103">
        <v>431500</v>
      </c>
      <c r="E32" s="147">
        <f t="shared" si="0"/>
        <v>3197300</v>
      </c>
      <c r="F32" s="56">
        <f t="shared" si="1"/>
        <v>11.890983245149913</v>
      </c>
    </row>
    <row r="33" spans="1:6" ht="21.75" customHeight="1" thickBot="1">
      <c r="A33" s="161">
        <v>1204</v>
      </c>
      <c r="B33" s="162" t="s">
        <v>150</v>
      </c>
      <c r="C33" s="163">
        <v>137843.67000000001</v>
      </c>
      <c r="D33" s="173">
        <v>47200</v>
      </c>
      <c r="E33" s="147">
        <f t="shared" si="0"/>
        <v>90643.670000000013</v>
      </c>
      <c r="F33" s="164">
        <f>D33/C33*100</f>
        <v>34.241688428638035</v>
      </c>
    </row>
    <row r="34" spans="1:6" s="168" customFormat="1" ht="16.5" thickBot="1">
      <c r="A34" s="169">
        <v>1301</v>
      </c>
      <c r="B34" s="170" t="s">
        <v>206</v>
      </c>
      <c r="C34" s="171">
        <v>84356.33</v>
      </c>
      <c r="D34" s="56">
        <v>84356.33</v>
      </c>
      <c r="E34" s="147">
        <f t="shared" si="0"/>
        <v>0</v>
      </c>
      <c r="F34" s="56">
        <f>D34/C34*100</f>
        <v>100</v>
      </c>
    </row>
    <row r="35" spans="1:6" ht="23.25" hidden="1" thickBot="1">
      <c r="A35" s="165">
        <v>1300</v>
      </c>
      <c r="B35" s="166" t="s">
        <v>161</v>
      </c>
      <c r="C35" s="110">
        <v>0</v>
      </c>
      <c r="D35" s="110"/>
      <c r="E35" s="55"/>
      <c r="F35" s="167"/>
    </row>
    <row r="36" spans="1:6" ht="23.25" hidden="1" thickBot="1">
      <c r="A36" s="106">
        <v>1301</v>
      </c>
      <c r="B36" s="107" t="s">
        <v>161</v>
      </c>
      <c r="C36" s="108">
        <v>0</v>
      </c>
      <c r="D36" s="108">
        <v>0</v>
      </c>
      <c r="E36" s="55">
        <f t="shared" ref="E36:E40" si="2">D36-C36</f>
        <v>0</v>
      </c>
      <c r="F36" s="56" t="e">
        <f t="shared" si="1"/>
        <v>#DIV/0!</v>
      </c>
    </row>
    <row r="37" spans="1:6" ht="16.5" hidden="1" thickBot="1">
      <c r="A37" s="263" t="s">
        <v>139</v>
      </c>
      <c r="B37" s="101" t="s">
        <v>140</v>
      </c>
      <c r="C37" s="264">
        <f>C39</f>
        <v>0</v>
      </c>
      <c r="D37" s="265">
        <f>D39</f>
        <v>0</v>
      </c>
      <c r="E37" s="55">
        <f t="shared" si="2"/>
        <v>0</v>
      </c>
      <c r="F37" s="56" t="e">
        <f t="shared" si="1"/>
        <v>#DIV/0!</v>
      </c>
    </row>
    <row r="38" spans="1:6" ht="16.5" hidden="1" thickBot="1">
      <c r="A38" s="250"/>
      <c r="B38" s="24" t="s">
        <v>141</v>
      </c>
      <c r="C38" s="252"/>
      <c r="D38" s="252"/>
      <c r="E38" s="55">
        <f t="shared" si="2"/>
        <v>0</v>
      </c>
      <c r="F38" s="56"/>
    </row>
    <row r="39" spans="1:6" ht="16.5" hidden="1" thickBot="1">
      <c r="A39" s="245" t="s">
        <v>142</v>
      </c>
      <c r="B39" s="41" t="s">
        <v>143</v>
      </c>
      <c r="C39" s="247">
        <v>0</v>
      </c>
      <c r="D39" s="247">
        <v>0</v>
      </c>
      <c r="E39" s="55">
        <f t="shared" si="2"/>
        <v>0</v>
      </c>
      <c r="F39" s="56" t="e">
        <f t="shared" si="1"/>
        <v>#DIV/0!</v>
      </c>
    </row>
    <row r="40" spans="1:6" ht="16.5" hidden="1" thickBot="1">
      <c r="A40" s="246"/>
      <c r="B40" s="26" t="s">
        <v>144</v>
      </c>
      <c r="C40" s="248"/>
      <c r="D40" s="248"/>
      <c r="E40" s="55">
        <f t="shared" si="2"/>
        <v>0</v>
      </c>
      <c r="F40" s="56"/>
    </row>
    <row r="41" spans="1:6" ht="16.5" thickBot="1">
      <c r="A41" s="215">
        <v>9800</v>
      </c>
      <c r="B41" s="24" t="s">
        <v>145</v>
      </c>
      <c r="C41" s="43">
        <f>C2+C9+C11+C14+C18+C21+C24+C30+C29</f>
        <v>81551498.75</v>
      </c>
      <c r="D41" s="43">
        <f>D2+D9+D11+D14+D18+D21+D24+D30+D29</f>
        <v>18996616.690000001</v>
      </c>
      <c r="E41" s="43">
        <f>E2+E9+E11+E14+E18+E21+E24+E30+E29</f>
        <v>62554882.059999995</v>
      </c>
      <c r="F41" s="56">
        <f t="shared" si="1"/>
        <v>23.294012962575998</v>
      </c>
    </row>
  </sheetData>
  <mergeCells count="6">
    <mergeCell ref="A37:A38"/>
    <mergeCell ref="C37:C38"/>
    <mergeCell ref="D37:D38"/>
    <mergeCell ref="A39:A40"/>
    <mergeCell ref="C39:C40"/>
    <mergeCell ref="D39:D4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5"/>
  <sheetViews>
    <sheetView topLeftCell="A23" zoomScale="70" zoomScaleNormal="70" workbookViewId="0">
      <selection activeCell="N48" sqref="N48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8.85546875" style="32" customWidth="1"/>
    <col min="6" max="6" width="11.7109375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/>
    <row r="5" spans="1:6" s="180" customFormat="1" ht="130.5" customHeight="1" thickBot="1">
      <c r="A5" s="174" t="s">
        <v>176</v>
      </c>
      <c r="B5" s="175" t="s">
        <v>175</v>
      </c>
      <c r="C5" s="176">
        <v>4050000</v>
      </c>
      <c r="D5" s="177">
        <v>2267670.9700000002</v>
      </c>
      <c r="E5" s="178">
        <f>C5-D5</f>
        <v>1782329.0299999998</v>
      </c>
      <c r="F5" s="179">
        <f t="shared" ref="F5:F45" si="0">D5/C5*100</f>
        <v>55.991875802469139</v>
      </c>
    </row>
    <row r="6" spans="1:6" s="180" customFormat="1" ht="149.25" customHeight="1" thickBot="1">
      <c r="A6" s="174" t="s">
        <v>177</v>
      </c>
      <c r="B6" s="175" t="s">
        <v>178</v>
      </c>
      <c r="C6" s="176">
        <v>32000</v>
      </c>
      <c r="D6" s="176">
        <v>15655.05</v>
      </c>
      <c r="E6" s="178">
        <f t="shared" ref="E6:E14" si="1">C6-D6</f>
        <v>16344.95</v>
      </c>
      <c r="F6" s="179">
        <f t="shared" si="0"/>
        <v>48.922031249999996</v>
      </c>
    </row>
    <row r="7" spans="1:6" s="180" customFormat="1" ht="149.25" customHeight="1" thickBot="1">
      <c r="A7" s="174" t="s">
        <v>179</v>
      </c>
      <c r="B7" s="175" t="s">
        <v>180</v>
      </c>
      <c r="C7" s="176">
        <v>3800000</v>
      </c>
      <c r="D7" s="221">
        <v>3023690.75</v>
      </c>
      <c r="E7" s="178">
        <f t="shared" si="1"/>
        <v>776309.25</v>
      </c>
      <c r="F7" s="179">
        <f t="shared" si="0"/>
        <v>79.57080921052632</v>
      </c>
    </row>
    <row r="8" spans="1:6" s="180" customFormat="1" ht="149.25" customHeight="1" thickBot="1">
      <c r="A8" s="174" t="s">
        <v>181</v>
      </c>
      <c r="B8" s="175" t="s">
        <v>182</v>
      </c>
      <c r="C8" s="176">
        <v>0</v>
      </c>
      <c r="D8" s="177">
        <v>-442938.81</v>
      </c>
      <c r="E8" s="178">
        <v>0</v>
      </c>
      <c r="F8" s="225" t="e">
        <f t="shared" si="0"/>
        <v>#DIV/0!</v>
      </c>
    </row>
    <row r="9" spans="1:6" s="180" customFormat="1" ht="38.25" customHeight="1" thickBot="1">
      <c r="A9" s="174" t="s">
        <v>71</v>
      </c>
      <c r="B9" s="175" t="s">
        <v>72</v>
      </c>
      <c r="C9" s="176">
        <v>12710000</v>
      </c>
      <c r="D9" s="177">
        <v>8612513.1699999999</v>
      </c>
      <c r="E9" s="178">
        <f t="shared" si="1"/>
        <v>4097486.83</v>
      </c>
      <c r="F9" s="179">
        <f t="shared" si="0"/>
        <v>67.761708654602671</v>
      </c>
    </row>
    <row r="10" spans="1:6" s="180" customFormat="1" ht="108" customHeight="1" thickBot="1">
      <c r="A10" s="174" t="s">
        <v>184</v>
      </c>
      <c r="B10" s="175" t="s">
        <v>185</v>
      </c>
      <c r="C10" s="176">
        <v>0</v>
      </c>
      <c r="D10" s="177">
        <v>91600.29</v>
      </c>
      <c r="E10" s="178"/>
      <c r="F10" s="225" t="e">
        <f t="shared" si="0"/>
        <v>#DIV/0!</v>
      </c>
    </row>
    <row r="11" spans="1:6" s="180" customFormat="1" ht="33" customHeight="1" thickBot="1">
      <c r="A11" s="174" t="s">
        <v>186</v>
      </c>
      <c r="B11" s="175" t="s">
        <v>187</v>
      </c>
      <c r="C11" s="176">
        <v>0</v>
      </c>
      <c r="D11" s="177">
        <v>22752.06</v>
      </c>
      <c r="E11" s="178"/>
      <c r="F11" s="225" t="e">
        <f t="shared" si="0"/>
        <v>#DIV/0!</v>
      </c>
    </row>
    <row r="12" spans="1:6" s="180" customFormat="1" ht="88.5" customHeight="1" thickBot="1">
      <c r="A12" s="181" t="s">
        <v>203</v>
      </c>
      <c r="B12" s="182" t="s">
        <v>204</v>
      </c>
      <c r="C12" s="183">
        <v>0</v>
      </c>
      <c r="D12" s="184">
        <v>84981.1</v>
      </c>
      <c r="E12" s="178"/>
      <c r="F12" s="226" t="e">
        <f t="shared" si="0"/>
        <v>#DIV/0!</v>
      </c>
    </row>
    <row r="13" spans="1:6" s="180" customFormat="1" ht="25.5" customHeight="1" thickBot="1">
      <c r="A13" s="186" t="s">
        <v>188</v>
      </c>
      <c r="B13" s="187" t="s">
        <v>74</v>
      </c>
      <c r="C13" s="188">
        <v>2208000</v>
      </c>
      <c r="D13" s="189">
        <v>2214129.4300000002</v>
      </c>
      <c r="E13" s="178">
        <v>0</v>
      </c>
      <c r="F13" s="179">
        <f t="shared" si="0"/>
        <v>100.27760099637682</v>
      </c>
    </row>
    <row r="14" spans="1:6" s="180" customFormat="1" ht="19.5" customHeight="1" thickBot="1">
      <c r="A14" s="186" t="s">
        <v>75</v>
      </c>
      <c r="B14" s="187" t="s">
        <v>76</v>
      </c>
      <c r="C14" s="188">
        <v>5546800</v>
      </c>
      <c r="D14" s="189">
        <v>529692.75</v>
      </c>
      <c r="E14" s="178">
        <f t="shared" si="1"/>
        <v>5017107.25</v>
      </c>
      <c r="F14" s="179">
        <f t="shared" si="0"/>
        <v>9.5495195427994517</v>
      </c>
    </row>
    <row r="15" spans="1:6" s="180" customFormat="1" ht="13.5" customHeight="1">
      <c r="A15" s="190" t="s">
        <v>77</v>
      </c>
      <c r="B15" s="187" t="s">
        <v>201</v>
      </c>
      <c r="C15" s="191">
        <f>SUM(C17:C18)</f>
        <v>9568000</v>
      </c>
      <c r="D15" s="192">
        <f>SUM(D17:D18)</f>
        <v>3036096.8499999996</v>
      </c>
      <c r="E15" s="192">
        <f>SUM(E17:E18)</f>
        <v>6531903.1500000004</v>
      </c>
      <c r="F15" s="179">
        <f t="shared" si="0"/>
        <v>31.731781459030096</v>
      </c>
    </row>
    <row r="16" spans="1:6" s="180" customFormat="1" ht="13.5" hidden="1" customHeight="1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>
      <c r="A17" s="174" t="s">
        <v>155</v>
      </c>
      <c r="B17" s="197" t="s">
        <v>156</v>
      </c>
      <c r="C17" s="198">
        <v>4160000</v>
      </c>
      <c r="D17" s="76">
        <v>2442204.11</v>
      </c>
      <c r="E17" s="178">
        <f>C17-D17</f>
        <v>1717795.8900000001</v>
      </c>
      <c r="F17" s="179">
        <f t="shared" si="0"/>
        <v>58.706829567307693</v>
      </c>
    </row>
    <row r="18" spans="1:6" s="180" customFormat="1" ht="45.75" thickBot="1">
      <c r="A18" s="174" t="s">
        <v>157</v>
      </c>
      <c r="B18" s="197" t="s">
        <v>158</v>
      </c>
      <c r="C18" s="198">
        <v>5408000</v>
      </c>
      <c r="D18" s="76">
        <v>593892.74</v>
      </c>
      <c r="E18" s="178">
        <f>C18-D18</f>
        <v>4814107.26</v>
      </c>
      <c r="F18" s="179">
        <f t="shared" si="0"/>
        <v>10.981744452662721</v>
      </c>
    </row>
    <row r="19" spans="1:6" ht="23.25" thickBot="1">
      <c r="A19" s="217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>
      <c r="A21" s="234"/>
      <c r="B21" s="21" t="s">
        <v>79</v>
      </c>
      <c r="C21" s="258"/>
      <c r="D21" s="236"/>
      <c r="E21" s="266"/>
      <c r="F21" s="254"/>
    </row>
    <row r="22" spans="1:6" ht="38.25" customHeight="1" thickBot="1">
      <c r="A22" s="217" t="s">
        <v>88</v>
      </c>
      <c r="B22" s="23" t="s">
        <v>112</v>
      </c>
      <c r="C22" s="78">
        <v>0</v>
      </c>
      <c r="D22" s="74">
        <v>0</v>
      </c>
      <c r="E22" s="160">
        <f t="shared" ref="E22:E32" si="2">C22-D22</f>
        <v>0</v>
      </c>
      <c r="F22" s="65"/>
    </row>
    <row r="23" spans="1:6" ht="48" customHeight="1" thickBot="1">
      <c r="A23" s="217" t="s">
        <v>89</v>
      </c>
      <c r="B23" s="23" t="s">
        <v>113</v>
      </c>
      <c r="C23" s="78">
        <v>0</v>
      </c>
      <c r="D23" s="75">
        <v>0</v>
      </c>
      <c r="E23" s="59">
        <f t="shared" si="2"/>
        <v>0</v>
      </c>
      <c r="F23" s="65"/>
    </row>
    <row r="24" spans="1:6" ht="43.5" customHeight="1" thickBot="1">
      <c r="A24" s="217" t="s">
        <v>90</v>
      </c>
      <c r="B24" s="23" t="s">
        <v>114</v>
      </c>
      <c r="C24" s="78">
        <v>0</v>
      </c>
      <c r="D24" s="76">
        <v>0</v>
      </c>
      <c r="E24" s="59">
        <f t="shared" si="2"/>
        <v>0</v>
      </c>
      <c r="F24" s="65"/>
    </row>
    <row r="25" spans="1:6" s="180" customFormat="1" ht="36" customHeight="1" thickBot="1">
      <c r="A25" s="174" t="s">
        <v>91</v>
      </c>
      <c r="B25" s="175" t="s">
        <v>92</v>
      </c>
      <c r="C25" s="176">
        <v>61204</v>
      </c>
      <c r="D25" s="177">
        <v>50076</v>
      </c>
      <c r="E25" s="178">
        <f t="shared" si="2"/>
        <v>11128</v>
      </c>
      <c r="F25" s="179">
        <f t="shared" si="0"/>
        <v>81.818181818181827</v>
      </c>
    </row>
    <row r="26" spans="1:6" s="180" customFormat="1" ht="85.5" customHeight="1" thickBot="1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225" t="e">
        <f t="shared" si="0"/>
        <v>#DIV/0!</v>
      </c>
    </row>
    <row r="27" spans="1:6" s="180" customFormat="1" ht="83.25" customHeight="1" thickBot="1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0"/>
        <v>0</v>
      </c>
    </row>
    <row r="28" spans="1:6" ht="55.5" customHeight="1" thickBot="1">
      <c r="A28" s="217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227" t="e">
        <f t="shared" si="0"/>
        <v>#VALUE!</v>
      </c>
    </row>
    <row r="29" spans="1:6" ht="24.75" customHeight="1" thickBot="1">
      <c r="A29" s="217" t="s">
        <v>97</v>
      </c>
      <c r="B29" s="25" t="s">
        <v>98</v>
      </c>
      <c r="C29" s="77">
        <v>0</v>
      </c>
      <c r="D29" s="28">
        <v>0</v>
      </c>
      <c r="E29" s="59">
        <f t="shared" si="2"/>
        <v>0</v>
      </c>
      <c r="F29" s="65"/>
    </row>
    <row r="30" spans="1:6" ht="28.5" customHeight="1" thickBot="1">
      <c r="A30" s="217" t="s">
        <v>147</v>
      </c>
      <c r="B30" s="25" t="s">
        <v>148</v>
      </c>
      <c r="C30" s="77">
        <v>0</v>
      </c>
      <c r="D30" s="28">
        <v>0</v>
      </c>
      <c r="E30" s="59">
        <f t="shared" si="2"/>
        <v>0</v>
      </c>
      <c r="F30" s="65"/>
    </row>
    <row r="31" spans="1:6" ht="33.75" customHeight="1" thickBot="1">
      <c r="A31" s="217" t="s">
        <v>100</v>
      </c>
      <c r="B31" s="25" t="s">
        <v>101</v>
      </c>
      <c r="C31" s="77">
        <v>0</v>
      </c>
      <c r="D31" s="28">
        <v>0</v>
      </c>
      <c r="E31" s="59">
        <f t="shared" si="2"/>
        <v>0</v>
      </c>
      <c r="F31" s="65"/>
    </row>
    <row r="32" spans="1:6" ht="37.5" customHeight="1" thickBot="1">
      <c r="A32" s="217" t="s">
        <v>102</v>
      </c>
      <c r="B32" s="25" t="s">
        <v>103</v>
      </c>
      <c r="C32" s="77">
        <v>0</v>
      </c>
      <c r="D32" s="28">
        <v>0</v>
      </c>
      <c r="E32" s="59">
        <f t="shared" si="2"/>
        <v>0</v>
      </c>
      <c r="F32" s="65"/>
    </row>
    <row r="33" spans="1:6" ht="15.75" customHeight="1" thickBot="1">
      <c r="A33" s="231" t="s">
        <v>106</v>
      </c>
      <c r="B33" s="232"/>
      <c r="C33" s="79">
        <f>C9+C5+C6+C7+C8+C10+C11+C13+C14+C15+C25+C26+C27</f>
        <v>37986004</v>
      </c>
      <c r="D33" s="79">
        <f>D9+D5+D6+D7+D8+D10+D11+D13+D14+D15+D25+D26+D27+D12</f>
        <v>19513919.609999999</v>
      </c>
      <c r="E33" s="79">
        <f>E9+E5+E6+E7+E8+E10+E11+E13+E14+E15+E25+E26+E27+E12</f>
        <v>18242608.460000001</v>
      </c>
      <c r="F33" s="65">
        <f t="shared" si="0"/>
        <v>51.371340902296538</v>
      </c>
    </row>
    <row r="34" spans="1:6" s="118" customFormat="1" ht="21.75" thickBot="1">
      <c r="A34" s="116" t="s">
        <v>194</v>
      </c>
      <c r="B34" s="24" t="s">
        <v>202</v>
      </c>
      <c r="C34" s="159">
        <f>C35+C38+C39+C40+C36+C41+C37+C42</f>
        <v>45555400</v>
      </c>
      <c r="D34" s="159">
        <f>D35+D38+D39+D40+D36+D41+D37+D42</f>
        <v>31980600.229999997</v>
      </c>
      <c r="E34" s="159">
        <f>E35+E38+E39+E40+E36+E41+E37+E42</f>
        <v>13574799.770000001</v>
      </c>
      <c r="F34" s="117">
        <f t="shared" si="0"/>
        <v>70.201557290683425</v>
      </c>
    </row>
    <row r="35" spans="1:6" s="203" customFormat="1" ht="34.5" thickBot="1">
      <c r="A35" s="199" t="s">
        <v>196</v>
      </c>
      <c r="B35" s="197" t="s">
        <v>195</v>
      </c>
      <c r="C35" s="200">
        <v>7832000</v>
      </c>
      <c r="D35" s="198">
        <v>7832000</v>
      </c>
      <c r="E35" s="201">
        <f>C35-D35</f>
        <v>0</v>
      </c>
      <c r="F35" s="202">
        <f t="shared" si="0"/>
        <v>100</v>
      </c>
    </row>
    <row r="36" spans="1:6" s="203" customFormat="1" ht="23.25" thickBot="1">
      <c r="A36" s="199" t="s">
        <v>207</v>
      </c>
      <c r="B36" s="197" t="s">
        <v>208</v>
      </c>
      <c r="C36" s="200">
        <v>4500000</v>
      </c>
      <c r="D36" s="198">
        <v>4500000</v>
      </c>
      <c r="E36" s="201">
        <f>C36-D36</f>
        <v>0</v>
      </c>
      <c r="F36" s="202">
        <f t="shared" si="0"/>
        <v>100</v>
      </c>
    </row>
    <row r="37" spans="1:6" s="203" customFormat="1" ht="34.5" thickBot="1">
      <c r="A37" s="199" t="s">
        <v>209</v>
      </c>
      <c r="B37" s="197" t="s">
        <v>210</v>
      </c>
      <c r="C37" s="200">
        <v>18072000</v>
      </c>
      <c r="D37" s="198">
        <v>18072000</v>
      </c>
      <c r="E37" s="201">
        <f>C37-D37</f>
        <v>0</v>
      </c>
      <c r="F37" s="202">
        <f t="shared" si="0"/>
        <v>100</v>
      </c>
    </row>
    <row r="38" spans="1:6" s="203" customFormat="1" ht="28.5" customHeight="1" thickBot="1">
      <c r="A38" s="204" t="s">
        <v>197</v>
      </c>
      <c r="B38" s="205" t="s">
        <v>167</v>
      </c>
      <c r="C38" s="206">
        <v>13507700</v>
      </c>
      <c r="D38" s="198">
        <v>1056097.8400000001</v>
      </c>
      <c r="E38" s="201">
        <f>C38-D38</f>
        <v>12451602.16</v>
      </c>
      <c r="F38" s="202">
        <f t="shared" si="0"/>
        <v>7.8184875293351208</v>
      </c>
    </row>
    <row r="39" spans="1:6" s="203" customFormat="1" ht="30.75" customHeight="1" thickBot="1">
      <c r="A39" s="207" t="s">
        <v>198</v>
      </c>
      <c r="B39" s="208" t="s">
        <v>169</v>
      </c>
      <c r="C39" s="209">
        <v>7600</v>
      </c>
      <c r="D39" s="198">
        <v>0</v>
      </c>
      <c r="E39" s="201">
        <f t="shared" ref="E39:E41" si="3">C39-D39</f>
        <v>7600</v>
      </c>
      <c r="F39" s="210">
        <f>D39/C39*100</f>
        <v>0</v>
      </c>
    </row>
    <row r="40" spans="1:6" s="203" customFormat="1" ht="30.75" customHeight="1" thickBot="1">
      <c r="A40" s="207" t="s">
        <v>199</v>
      </c>
      <c r="B40" s="208" t="s">
        <v>171</v>
      </c>
      <c r="C40" s="209">
        <v>486100</v>
      </c>
      <c r="D40" s="198">
        <v>308392.03000000003</v>
      </c>
      <c r="E40" s="201">
        <f t="shared" si="3"/>
        <v>177707.96999999997</v>
      </c>
      <c r="F40" s="210">
        <f>D40/C40*100</f>
        <v>63.442096276486325</v>
      </c>
    </row>
    <row r="41" spans="1:6" s="203" customFormat="1" ht="33.75" customHeight="1" thickBot="1">
      <c r="A41" s="207" t="s">
        <v>211</v>
      </c>
      <c r="B41" s="208" t="s">
        <v>163</v>
      </c>
      <c r="C41" s="211">
        <v>1050000</v>
      </c>
      <c r="D41" s="198">
        <v>112110.36</v>
      </c>
      <c r="E41" s="201">
        <f t="shared" si="3"/>
        <v>937889.64</v>
      </c>
      <c r="F41" s="210">
        <f t="shared" ref="F41:F42" si="4">D41/C41*100</f>
        <v>10.677177142857143</v>
      </c>
    </row>
    <row r="42" spans="1:6" s="180" customFormat="1" ht="16.5" thickBot="1">
      <c r="A42" s="174" t="s">
        <v>200</v>
      </c>
      <c r="B42" s="197" t="s">
        <v>160</v>
      </c>
      <c r="C42" s="198">
        <v>100000</v>
      </c>
      <c r="D42" s="198">
        <v>100000</v>
      </c>
      <c r="E42" s="178">
        <v>0</v>
      </c>
      <c r="F42" s="210">
        <f t="shared" si="4"/>
        <v>100</v>
      </c>
    </row>
    <row r="43" spans="1:6" s="132" customFormat="1" ht="47.25" customHeight="1" thickBot="1">
      <c r="A43" s="137" t="s">
        <v>104</v>
      </c>
      <c r="B43" s="141" t="s">
        <v>105</v>
      </c>
      <c r="C43" s="129">
        <v>0</v>
      </c>
      <c r="D43" s="129">
        <v>0</v>
      </c>
      <c r="E43" s="130">
        <f>C43-D43</f>
        <v>0</v>
      </c>
      <c r="F43" s="142"/>
    </row>
    <row r="44" spans="1:6" ht="16.5" thickBot="1">
      <c r="A44" s="231" t="s">
        <v>109</v>
      </c>
      <c r="B44" s="232"/>
      <c r="C44" s="79">
        <f>C34</f>
        <v>45555400</v>
      </c>
      <c r="D44" s="79">
        <f>D34</f>
        <v>31980600.229999997</v>
      </c>
      <c r="E44" s="79">
        <f>E34</f>
        <v>13574799.770000001</v>
      </c>
      <c r="F44" s="65">
        <f t="shared" si="0"/>
        <v>70.201557290683425</v>
      </c>
    </row>
    <row r="45" spans="1:6" ht="28.5" customHeight="1" thickBot="1">
      <c r="A45" s="231" t="s">
        <v>110</v>
      </c>
      <c r="B45" s="232"/>
      <c r="C45" s="79">
        <f>C33+C44</f>
        <v>83541404</v>
      </c>
      <c r="D45" s="79">
        <f>D33+D44</f>
        <v>51494519.839999996</v>
      </c>
      <c r="E45" s="79">
        <f>E33+E44</f>
        <v>31817408.230000004</v>
      </c>
      <c r="F45" s="65">
        <f t="shared" si="0"/>
        <v>61.639519297521019</v>
      </c>
    </row>
  </sheetData>
  <mergeCells count="12">
    <mergeCell ref="E20:E21"/>
    <mergeCell ref="F20:F21"/>
    <mergeCell ref="A33:B33"/>
    <mergeCell ref="A44:B44"/>
    <mergeCell ref="A45:B45"/>
    <mergeCell ref="A1:A2"/>
    <mergeCell ref="B1:B2"/>
    <mergeCell ref="C1:C2"/>
    <mergeCell ref="D1:D2"/>
    <mergeCell ref="A20:A21"/>
    <mergeCell ref="C20:C21"/>
    <mergeCell ref="D20:D2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41"/>
  <sheetViews>
    <sheetView tabSelected="1" topLeftCell="A22" workbookViewId="0">
      <selection activeCell="E25" sqref="E25:E29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220">
        <v>100</v>
      </c>
      <c r="B2" s="24" t="s">
        <v>119</v>
      </c>
      <c r="C2" s="43">
        <f>SUM(C3:C8)</f>
        <v>22649703.370000001</v>
      </c>
      <c r="D2" s="43">
        <f>SUM(D3:D8)</f>
        <v>13206950.149999999</v>
      </c>
      <c r="E2" s="55">
        <f>C2-D2</f>
        <v>9442753.2200000025</v>
      </c>
      <c r="F2" s="56">
        <f>D2/C2*100</f>
        <v>58.309594321190431</v>
      </c>
    </row>
    <row r="3" spans="1:6" ht="23.25" thickBot="1">
      <c r="A3" s="218">
        <v>102</v>
      </c>
      <c r="B3" s="26" t="s">
        <v>120</v>
      </c>
      <c r="C3" s="44">
        <f>850800+257000</f>
        <v>1107800</v>
      </c>
      <c r="D3" s="44">
        <f>585846.61+168854.56</f>
        <v>754701.16999999993</v>
      </c>
      <c r="E3" s="223">
        <f t="shared" ref="E3:E34" si="0">C3-D3</f>
        <v>353098.83000000007</v>
      </c>
      <c r="F3" s="56">
        <f>D3/C3*100</f>
        <v>68.126121141000169</v>
      </c>
    </row>
    <row r="4" spans="1:6" ht="45.75" thickBot="1">
      <c r="A4" s="218">
        <v>104</v>
      </c>
      <c r="B4" s="87" t="s">
        <v>4</v>
      </c>
      <c r="C4" s="44">
        <f>5216700+400+1575400+172700+181000+15850+15000+16149.37+7600</f>
        <v>7200799.3700000001</v>
      </c>
      <c r="D4" s="44">
        <f>3367137.26+969035.15+108426.41+5500+14824.64</f>
        <v>4464923.46</v>
      </c>
      <c r="E4" s="223">
        <f t="shared" si="0"/>
        <v>2735875.91</v>
      </c>
      <c r="F4" s="56">
        <f>D4/C4*100</f>
        <v>62.005941709774369</v>
      </c>
    </row>
    <row r="5" spans="1:6" ht="38.25" customHeight="1" thickBot="1">
      <c r="A5" s="112">
        <v>106</v>
      </c>
      <c r="B5" s="120" t="s">
        <v>152</v>
      </c>
      <c r="C5" s="44">
        <v>298000</v>
      </c>
      <c r="D5" s="44">
        <v>149000</v>
      </c>
      <c r="E5" s="223">
        <f t="shared" si="0"/>
        <v>149000</v>
      </c>
      <c r="F5" s="56">
        <f>D5/C5*100</f>
        <v>50</v>
      </c>
    </row>
    <row r="6" spans="1:6" ht="25.5" hidden="1" customHeight="1">
      <c r="A6" s="218">
        <v>107</v>
      </c>
      <c r="B6" s="113" t="s">
        <v>154</v>
      </c>
      <c r="C6" s="44"/>
      <c r="D6" s="44">
        <v>0</v>
      </c>
      <c r="E6" s="223">
        <f t="shared" si="0"/>
        <v>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223">
        <f t="shared" si="0"/>
        <v>50000</v>
      </c>
      <c r="F7" s="56">
        <f t="shared" ref="F7:F41" si="1">D7/C7*100</f>
        <v>0</v>
      </c>
    </row>
    <row r="8" spans="1:6" ht="16.5" thickBot="1">
      <c r="A8" s="218">
        <v>113</v>
      </c>
      <c r="B8" s="26" t="s">
        <v>121</v>
      </c>
      <c r="C8" s="44">
        <f>150000+10000+1100000+200000+1364300+392400+425000+153000+2884+4104+116+100000+4968800+600+1500400+284000+2584500+25000+18000+10000+700000</f>
        <v>13993104</v>
      </c>
      <c r="D8" s="45">
        <f>150000+677818.45+87800+959249.98+270228.01+252757.07+46250+115.4+2980823.61+400+845176.3+130333.52+1409323.87+12291+15730+28.31</f>
        <v>7838325.5199999986</v>
      </c>
      <c r="E8" s="223">
        <f t="shared" si="0"/>
        <v>6154778.4800000014</v>
      </c>
      <c r="F8" s="56">
        <f t="shared" si="1"/>
        <v>56.01563112801847</v>
      </c>
    </row>
    <row r="9" spans="1:6" ht="16.5" thickBot="1">
      <c r="A9" s="220">
        <v>200</v>
      </c>
      <c r="B9" s="24" t="s">
        <v>122</v>
      </c>
      <c r="C9" s="43">
        <f>C10</f>
        <v>486100</v>
      </c>
      <c r="D9" s="43">
        <f>D10</f>
        <v>308392.03000000003</v>
      </c>
      <c r="E9" s="224">
        <f t="shared" si="0"/>
        <v>177707.96999999997</v>
      </c>
      <c r="F9" s="56">
        <f t="shared" si="1"/>
        <v>63.442096276486325</v>
      </c>
    </row>
    <row r="10" spans="1:6" ht="16.5" thickBot="1">
      <c r="A10" s="218">
        <v>203</v>
      </c>
      <c r="B10" s="26" t="s">
        <v>123</v>
      </c>
      <c r="C10" s="44">
        <f>373038+112662+400</f>
        <v>486100</v>
      </c>
      <c r="D10" s="44">
        <f>244089.73+64302.3</f>
        <v>308392.03000000003</v>
      </c>
      <c r="E10" s="147">
        <f t="shared" si="0"/>
        <v>177707.96999999997</v>
      </c>
      <c r="F10" s="56">
        <f t="shared" si="1"/>
        <v>63.442096276486325</v>
      </c>
    </row>
    <row r="11" spans="1:6" ht="21.75" thickBot="1">
      <c r="A11" s="220">
        <v>300</v>
      </c>
      <c r="B11" s="24" t="s">
        <v>124</v>
      </c>
      <c r="C11" s="43">
        <f>SUM(C12:C13)</f>
        <v>120000</v>
      </c>
      <c r="D11" s="43">
        <f>SUM(D12:D13)</f>
        <v>30000</v>
      </c>
      <c r="E11" s="224">
        <f t="shared" si="0"/>
        <v>90000</v>
      </c>
      <c r="F11" s="56">
        <f t="shared" si="1"/>
        <v>25</v>
      </c>
    </row>
    <row r="12" spans="1:6" ht="34.5" thickBot="1">
      <c r="A12" s="218">
        <v>309</v>
      </c>
      <c r="B12" s="37" t="s">
        <v>125</v>
      </c>
      <c r="C12" s="219">
        <f>5000+45000</f>
        <v>50000</v>
      </c>
      <c r="D12" s="44">
        <v>30000</v>
      </c>
      <c r="E12" s="147">
        <f t="shared" si="0"/>
        <v>20000</v>
      </c>
      <c r="F12" s="56">
        <f t="shared" si="1"/>
        <v>60</v>
      </c>
    </row>
    <row r="13" spans="1:6" ht="34.5" thickBot="1">
      <c r="A13" s="218">
        <v>314</v>
      </c>
      <c r="B13" s="38" t="s">
        <v>126</v>
      </c>
      <c r="C13" s="44">
        <f>70000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>
      <c r="A14" s="220">
        <v>400</v>
      </c>
      <c r="B14" s="39" t="s">
        <v>64</v>
      </c>
      <c r="C14" s="43">
        <f>SUM(C15:C17)</f>
        <v>21046645.379999999</v>
      </c>
      <c r="D14" s="43">
        <f>SUM(D16:D17)</f>
        <v>2986466</v>
      </c>
      <c r="E14" s="224">
        <f t="shared" si="0"/>
        <v>18060179.379999999</v>
      </c>
      <c r="F14" s="56">
        <f t="shared" si="1"/>
        <v>14.189748276169226</v>
      </c>
    </row>
    <row r="15" spans="1:6" ht="23.25" thickBot="1">
      <c r="A15" s="218">
        <v>401</v>
      </c>
      <c r="B15" s="26" t="s">
        <v>205</v>
      </c>
      <c r="C15" s="44">
        <v>0</v>
      </c>
      <c r="D15" s="43"/>
      <c r="E15" s="147">
        <f t="shared" si="0"/>
        <v>0</v>
      </c>
      <c r="F15" s="56" t="e">
        <f t="shared" si="1"/>
        <v>#DIV/0!</v>
      </c>
    </row>
    <row r="16" spans="1:6" ht="16.5" thickBot="1">
      <c r="A16" s="218">
        <v>409</v>
      </c>
      <c r="B16" s="26" t="s">
        <v>18</v>
      </c>
      <c r="C16" s="44">
        <f>4863978.38+600000+48667+2282000+6973258+6173742</f>
        <v>20941645.379999999</v>
      </c>
      <c r="D16" s="44">
        <f>2725822+251334</f>
        <v>2977156</v>
      </c>
      <c r="E16" s="147">
        <f t="shared" si="0"/>
        <v>17964489.379999999</v>
      </c>
      <c r="F16" s="56">
        <f t="shared" si="1"/>
        <v>14.216437848972879</v>
      </c>
    </row>
    <row r="17" spans="1:6" ht="23.25" thickBot="1">
      <c r="A17" s="218">
        <v>412</v>
      </c>
      <c r="B17" s="26" t="s">
        <v>127</v>
      </c>
      <c r="C17" s="44">
        <f>5000+100000</f>
        <v>105000</v>
      </c>
      <c r="D17" s="44">
        <v>9310</v>
      </c>
      <c r="E17" s="147">
        <f t="shared" si="0"/>
        <v>95690</v>
      </c>
      <c r="F17" s="56">
        <f t="shared" si="1"/>
        <v>8.8666666666666671</v>
      </c>
    </row>
    <row r="18" spans="1:6" ht="16.5" thickBot="1">
      <c r="A18" s="220">
        <v>500</v>
      </c>
      <c r="B18" s="24" t="s">
        <v>128</v>
      </c>
      <c r="C18" s="43">
        <f>SUM(C19:C20)</f>
        <v>10958535</v>
      </c>
      <c r="D18" s="43">
        <f>SUM(D19:D20)</f>
        <v>6123467.1799999997</v>
      </c>
      <c r="E18" s="224">
        <f t="shared" si="0"/>
        <v>4835067.82</v>
      </c>
      <c r="F18" s="56">
        <f t="shared" si="1"/>
        <v>55.878520075904305</v>
      </c>
    </row>
    <row r="19" spans="1:6" ht="16.5" thickBot="1">
      <c r="A19" s="218">
        <v>502</v>
      </c>
      <c r="B19" s="26" t="s">
        <v>19</v>
      </c>
      <c r="C19" s="44">
        <f>24000+140000+1887900+200000+1440000</f>
        <v>3691900</v>
      </c>
      <c r="D19" s="44">
        <f>23468.84+87869.18+1173442.05+989200</f>
        <v>2273980.0700000003</v>
      </c>
      <c r="E19" s="147">
        <f t="shared" si="0"/>
        <v>1417919.9299999997</v>
      </c>
      <c r="F19" s="56">
        <f t="shared" si="1"/>
        <v>61.593761206966612</v>
      </c>
    </row>
    <row r="20" spans="1:6" ht="16.5" thickBot="1">
      <c r="A20" s="218">
        <v>503</v>
      </c>
      <c r="B20" s="26" t="s">
        <v>22</v>
      </c>
      <c r="C20" s="44">
        <f>3442500+1151335+550000+1872800+250000</f>
        <v>7266635</v>
      </c>
      <c r="D20" s="44">
        <f>2672740.11+330001+846746</f>
        <v>3849487.11</v>
      </c>
      <c r="E20" s="147">
        <f t="shared" si="0"/>
        <v>3417147.89</v>
      </c>
      <c r="F20" s="56">
        <f t="shared" si="1"/>
        <v>52.974824110472042</v>
      </c>
    </row>
    <row r="21" spans="1:6" ht="16.5" thickBot="1">
      <c r="A21" s="220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224">
        <f t="shared" si="0"/>
        <v>70000</v>
      </c>
      <c r="F21" s="56">
        <f t="shared" si="1"/>
        <v>12.5</v>
      </c>
    </row>
    <row r="22" spans="1:6" ht="16.5" thickBot="1">
      <c r="A22" s="218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>
      <c r="A23" s="218">
        <v>707</v>
      </c>
      <c r="B23" s="26" t="s">
        <v>23</v>
      </c>
      <c r="C23" s="44">
        <f>30000</f>
        <v>30000</v>
      </c>
      <c r="D23" s="44">
        <v>0</v>
      </c>
      <c r="E23" s="147">
        <f t="shared" si="0"/>
        <v>30000</v>
      </c>
      <c r="F23" s="56">
        <f t="shared" si="1"/>
        <v>0</v>
      </c>
    </row>
    <row r="24" spans="1:6" ht="16.5" thickBot="1">
      <c r="A24" s="220">
        <v>800</v>
      </c>
      <c r="B24" s="24" t="s">
        <v>130</v>
      </c>
      <c r="C24" s="43">
        <f>SUM(C25:C26)</f>
        <v>29386950</v>
      </c>
      <c r="D24" s="43">
        <f>SUM(D25:D26)</f>
        <v>25160038.710000001</v>
      </c>
      <c r="E24" s="55">
        <f t="shared" si="0"/>
        <v>4226911.2899999991</v>
      </c>
      <c r="F24" s="56">
        <f t="shared" si="1"/>
        <v>85.616366142114103</v>
      </c>
    </row>
    <row r="25" spans="1:6" ht="16.5" thickBot="1">
      <c r="A25" s="218">
        <v>801</v>
      </c>
      <c r="B25" s="26" t="s">
        <v>131</v>
      </c>
      <c r="C25" s="44">
        <f>3755000+800000+20080000+2842300+3500+1474150</f>
        <v>28954950</v>
      </c>
      <c r="D25" s="44">
        <f>2013927.54+112110.36+20080000+1562644.28+1653.6+1245109.93</f>
        <v>25015445.710000001</v>
      </c>
      <c r="E25" s="223">
        <f t="shared" si="0"/>
        <v>3939504.2899999991</v>
      </c>
      <c r="F25" s="56">
        <f t="shared" si="1"/>
        <v>86.394366800840615</v>
      </c>
    </row>
    <row r="26" spans="1:6" ht="16.5" thickBot="1">
      <c r="A26" s="218">
        <v>804</v>
      </c>
      <c r="B26" s="26" t="s">
        <v>132</v>
      </c>
      <c r="C26" s="44">
        <v>432000</v>
      </c>
      <c r="D26" s="44">
        <v>144593</v>
      </c>
      <c r="E26" s="223">
        <f t="shared" si="0"/>
        <v>287407</v>
      </c>
      <c r="F26" s="56">
        <f t="shared" si="1"/>
        <v>33.470601851851853</v>
      </c>
    </row>
    <row r="27" spans="1:6" ht="16.5" hidden="1" thickBot="1">
      <c r="A27" s="220">
        <v>1000</v>
      </c>
      <c r="B27" s="24" t="s">
        <v>133</v>
      </c>
      <c r="C27" s="43">
        <f>C28</f>
        <v>0</v>
      </c>
      <c r="D27" s="43">
        <f>D28</f>
        <v>0</v>
      </c>
      <c r="E27" s="223">
        <f t="shared" si="0"/>
        <v>0</v>
      </c>
      <c r="F27" s="56" t="e">
        <f t="shared" si="1"/>
        <v>#DIV/0!</v>
      </c>
    </row>
    <row r="28" spans="1:6" ht="16.5" hidden="1" thickBot="1">
      <c r="A28" s="218">
        <v>1003</v>
      </c>
      <c r="B28" s="26" t="s">
        <v>134</v>
      </c>
      <c r="C28" s="44">
        <v>0</v>
      </c>
      <c r="D28" s="44">
        <v>0</v>
      </c>
      <c r="E28" s="223">
        <f t="shared" si="0"/>
        <v>0</v>
      </c>
      <c r="F28" s="56" t="e">
        <f t="shared" si="1"/>
        <v>#DIV/0!</v>
      </c>
    </row>
    <row r="29" spans="1:6" ht="16.5" thickBot="1">
      <c r="A29" s="218">
        <v>1001</v>
      </c>
      <c r="B29" s="26" t="s">
        <v>212</v>
      </c>
      <c r="C29" s="44">
        <f>200000</f>
        <v>200000</v>
      </c>
      <c r="D29" s="44">
        <v>132499.20000000001</v>
      </c>
      <c r="E29" s="223">
        <f t="shared" si="0"/>
        <v>67500.799999999988</v>
      </c>
      <c r="F29" s="56">
        <f t="shared" si="1"/>
        <v>66.249600000000015</v>
      </c>
    </row>
    <row r="30" spans="1:6" ht="16.5" thickBot="1">
      <c r="A30" s="220">
        <v>1100</v>
      </c>
      <c r="B30" s="24" t="s">
        <v>135</v>
      </c>
      <c r="C30" s="43">
        <f>C31+C32+C33+C34</f>
        <v>3821600</v>
      </c>
      <c r="D30" s="43">
        <f>D31+D32+D33+D34</f>
        <v>1575843.1600000001</v>
      </c>
      <c r="E30" s="55">
        <f t="shared" si="0"/>
        <v>2245756.84</v>
      </c>
      <c r="F30" s="56">
        <f t="shared" si="1"/>
        <v>41.235167469122885</v>
      </c>
    </row>
    <row r="31" spans="1:6" ht="16.5" thickBot="1">
      <c r="A31" s="218">
        <v>1101</v>
      </c>
      <c r="B31" s="26" t="s">
        <v>136</v>
      </c>
      <c r="C31" s="44">
        <f>1035600</f>
        <v>1035600</v>
      </c>
      <c r="D31" s="172">
        <v>728454.83</v>
      </c>
      <c r="E31" s="147">
        <f t="shared" si="0"/>
        <v>307145.17000000004</v>
      </c>
      <c r="F31" s="56">
        <f t="shared" si="1"/>
        <v>70.341331595210505</v>
      </c>
    </row>
    <row r="32" spans="1:6" ht="16.5" customHeight="1" thickBot="1">
      <c r="A32" s="218">
        <v>1102</v>
      </c>
      <c r="B32" s="26" t="s">
        <v>151</v>
      </c>
      <c r="C32" s="49">
        <f>2563800</f>
        <v>2563800</v>
      </c>
      <c r="D32" s="103">
        <v>676500</v>
      </c>
      <c r="E32" s="147">
        <f t="shared" si="0"/>
        <v>1887300</v>
      </c>
      <c r="F32" s="56">
        <f t="shared" si="1"/>
        <v>26.386613620407207</v>
      </c>
    </row>
    <row r="33" spans="1:24" ht="21.75" customHeight="1" thickBot="1">
      <c r="A33" s="161">
        <v>1204</v>
      </c>
      <c r="B33" s="162" t="s">
        <v>150</v>
      </c>
      <c r="C33" s="163">
        <v>137843.67000000001</v>
      </c>
      <c r="D33" s="173">
        <v>86532</v>
      </c>
      <c r="E33" s="147">
        <f t="shared" si="0"/>
        <v>51311.670000000013</v>
      </c>
      <c r="F33" s="164">
        <f>D33/C33*100</f>
        <v>62.775461506502253</v>
      </c>
    </row>
    <row r="34" spans="1:24" s="168" customFormat="1" ht="16.5" thickBot="1">
      <c r="A34" s="169">
        <v>1301</v>
      </c>
      <c r="B34" s="170" t="s">
        <v>206</v>
      </c>
      <c r="C34" s="171">
        <v>84356.33</v>
      </c>
      <c r="D34" s="56">
        <v>84356.33</v>
      </c>
      <c r="E34" s="147">
        <f t="shared" si="0"/>
        <v>0</v>
      </c>
      <c r="F34" s="56">
        <f>D34/C34*100</f>
        <v>100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</row>
    <row r="35" spans="1:24" ht="23.25" hidden="1" thickBot="1">
      <c r="A35" s="165">
        <v>1300</v>
      </c>
      <c r="B35" s="166" t="s">
        <v>161</v>
      </c>
      <c r="C35" s="110">
        <v>0</v>
      </c>
      <c r="D35" s="110"/>
      <c r="E35" s="55"/>
      <c r="F35" s="167"/>
    </row>
    <row r="36" spans="1:24" ht="23.25" hidden="1" thickBot="1">
      <c r="A36" s="106">
        <v>1301</v>
      </c>
      <c r="B36" s="107" t="s">
        <v>161</v>
      </c>
      <c r="C36" s="108">
        <v>0</v>
      </c>
      <c r="D36" s="108">
        <v>0</v>
      </c>
      <c r="E36" s="55">
        <f t="shared" ref="E36:E40" si="2">D36-C36</f>
        <v>0</v>
      </c>
      <c r="F36" s="56" t="e">
        <f t="shared" si="1"/>
        <v>#DIV/0!</v>
      </c>
    </row>
    <row r="37" spans="1:24" ht="16.5" hidden="1" thickBot="1">
      <c r="A37" s="263" t="s">
        <v>139</v>
      </c>
      <c r="B37" s="101" t="s">
        <v>140</v>
      </c>
      <c r="C37" s="264">
        <f>C39</f>
        <v>0</v>
      </c>
      <c r="D37" s="265">
        <f>D39</f>
        <v>0</v>
      </c>
      <c r="E37" s="55">
        <f t="shared" si="2"/>
        <v>0</v>
      </c>
      <c r="F37" s="56" t="e">
        <f t="shared" si="1"/>
        <v>#DIV/0!</v>
      </c>
    </row>
    <row r="38" spans="1:24" ht="16.5" hidden="1" thickBot="1">
      <c r="A38" s="250"/>
      <c r="B38" s="24" t="s">
        <v>141</v>
      </c>
      <c r="C38" s="252"/>
      <c r="D38" s="252"/>
      <c r="E38" s="55">
        <f t="shared" si="2"/>
        <v>0</v>
      </c>
      <c r="F38" s="56"/>
    </row>
    <row r="39" spans="1:24" ht="16.5" hidden="1" thickBot="1">
      <c r="A39" s="245" t="s">
        <v>142</v>
      </c>
      <c r="B39" s="41" t="s">
        <v>143</v>
      </c>
      <c r="C39" s="247">
        <v>0</v>
      </c>
      <c r="D39" s="247">
        <v>0</v>
      </c>
      <c r="E39" s="55">
        <f t="shared" si="2"/>
        <v>0</v>
      </c>
      <c r="F39" s="56" t="e">
        <f t="shared" si="1"/>
        <v>#DIV/0!</v>
      </c>
    </row>
    <row r="40" spans="1:24" ht="16.5" hidden="1" thickBot="1">
      <c r="A40" s="246"/>
      <c r="B40" s="26" t="s">
        <v>144</v>
      </c>
      <c r="C40" s="248"/>
      <c r="D40" s="248"/>
      <c r="E40" s="55">
        <f t="shared" si="2"/>
        <v>0</v>
      </c>
      <c r="F40" s="56"/>
    </row>
    <row r="41" spans="1:24" ht="16.5" thickBot="1">
      <c r="A41" s="220">
        <v>9800</v>
      </c>
      <c r="B41" s="24" t="s">
        <v>145</v>
      </c>
      <c r="C41" s="43">
        <f>C2+C9+C11+C14+C18+C21+C24+C30+C29</f>
        <v>88749533.75</v>
      </c>
      <c r="D41" s="43">
        <f>D2+D9+D11+D14+D18+D21+D24+D30+D29</f>
        <v>49533656.430000007</v>
      </c>
      <c r="E41" s="43">
        <f>E2+E9+E11+E14+E18+E21+E24+E30+E29</f>
        <v>39215877.319999993</v>
      </c>
      <c r="F41" s="56">
        <f t="shared" si="1"/>
        <v>55.812863839411442</v>
      </c>
    </row>
  </sheetData>
  <mergeCells count="6">
    <mergeCell ref="A37:A38"/>
    <mergeCell ref="C37:C38"/>
    <mergeCell ref="D37:D38"/>
    <mergeCell ref="A39:A40"/>
    <mergeCell ref="C39:C40"/>
    <mergeCell ref="D39:D4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228" t="s">
        <v>54</v>
      </c>
      <c r="B2" s="228"/>
      <c r="C2" s="228"/>
      <c r="D2" s="228"/>
      <c r="E2" s="228"/>
      <c r="F2" s="228"/>
      <c r="G2" s="228"/>
      <c r="H2" s="228"/>
      <c r="I2" s="228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229" t="s">
        <v>38</v>
      </c>
      <c r="B33" s="229"/>
      <c r="C33" s="229"/>
      <c r="D33" s="17"/>
      <c r="E33" s="14"/>
      <c r="F33" s="230" t="s">
        <v>39</v>
      </c>
      <c r="G33" s="230"/>
      <c r="H33" s="230"/>
      <c r="I33" s="230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237" t="s">
        <v>65</v>
      </c>
      <c r="B1" s="239" t="s">
        <v>66</v>
      </c>
      <c r="C1" s="241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42"/>
      <c r="D2" s="242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233" t="s">
        <v>77</v>
      </c>
      <c r="B6" s="22" t="s">
        <v>78</v>
      </c>
      <c r="C6" s="235">
        <v>10110000</v>
      </c>
      <c r="D6" s="235">
        <v>2683258.98</v>
      </c>
      <c r="E6" s="243">
        <v>-7428741.0199999996</v>
      </c>
      <c r="F6" s="65">
        <f t="shared" ref="F6:F26" si="0">D6/C6*100</f>
        <v>26.540642729970326</v>
      </c>
    </row>
    <row r="7" spans="1:6" ht="13.5" customHeight="1" thickBot="1">
      <c r="A7" s="234"/>
      <c r="B7" s="21" t="s">
        <v>79</v>
      </c>
      <c r="C7" s="236"/>
      <c r="D7" s="236"/>
      <c r="E7" s="244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233" t="s">
        <v>86</v>
      </c>
      <c r="B11" s="22" t="s">
        <v>87</v>
      </c>
      <c r="C11" s="235">
        <v>2308000</v>
      </c>
      <c r="D11" s="235">
        <v>174530.63</v>
      </c>
      <c r="E11" s="243">
        <v>-2133469.37</v>
      </c>
      <c r="F11" s="65">
        <f t="shared" si="0"/>
        <v>7.5619857019064121</v>
      </c>
    </row>
    <row r="12" spans="1:6" ht="15.75" thickBot="1">
      <c r="A12" s="234"/>
      <c r="B12" s="21" t="s">
        <v>79</v>
      </c>
      <c r="C12" s="236"/>
      <c r="D12" s="236"/>
      <c r="E12" s="244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231" t="s">
        <v>106</v>
      </c>
      <c r="B23" s="232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231" t="s">
        <v>109</v>
      </c>
      <c r="B25" s="232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231" t="s">
        <v>110</v>
      </c>
      <c r="B26" s="232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249" t="s">
        <v>139</v>
      </c>
      <c r="B29" s="40" t="s">
        <v>140</v>
      </c>
      <c r="C29" s="251">
        <f>C31</f>
        <v>222037.11</v>
      </c>
      <c r="D29" s="251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250"/>
      <c r="B30" s="24" t="s">
        <v>141</v>
      </c>
      <c r="C30" s="252"/>
      <c r="D30" s="252"/>
      <c r="E30" s="55">
        <f t="shared" si="0"/>
        <v>0</v>
      </c>
      <c r="F30" s="56"/>
    </row>
    <row r="31" spans="1:6" ht="15" customHeight="1" thickBot="1">
      <c r="A31" s="245" t="s">
        <v>142</v>
      </c>
      <c r="B31" s="41" t="s">
        <v>143</v>
      </c>
      <c r="C31" s="247">
        <v>222037.11</v>
      </c>
      <c r="D31" s="247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246"/>
      <c r="B32" s="26" t="s">
        <v>144</v>
      </c>
      <c r="C32" s="248"/>
      <c r="D32" s="248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233" t="s">
        <v>77</v>
      </c>
      <c r="B6" s="22" t="s">
        <v>78</v>
      </c>
      <c r="C6" s="257">
        <f>SUM(C8:C9)</f>
        <v>10110000</v>
      </c>
      <c r="D6" s="235">
        <f>SUM(D8:D10)</f>
        <v>3767762.52</v>
      </c>
      <c r="E6" s="235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234"/>
      <c r="B7" s="21" t="s">
        <v>79</v>
      </c>
      <c r="C7" s="258"/>
      <c r="D7" s="236"/>
      <c r="E7" s="236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233" t="s">
        <v>86</v>
      </c>
      <c r="B11" s="22" t="s">
        <v>87</v>
      </c>
      <c r="C11" s="257">
        <f>SUM(C13:C15)</f>
        <v>2308000</v>
      </c>
      <c r="D11" s="235">
        <f>SUM(D13:D15)</f>
        <v>529982.33000000007</v>
      </c>
      <c r="E11" s="235">
        <f>SUM(E13:E15)</f>
        <v>1778017.67</v>
      </c>
      <c r="F11" s="253">
        <f t="shared" si="0"/>
        <v>22.962839254766035</v>
      </c>
    </row>
    <row r="12" spans="1:6" ht="15.75" customHeight="1" thickBot="1">
      <c r="A12" s="234"/>
      <c r="B12" s="21" t="s">
        <v>79</v>
      </c>
      <c r="C12" s="258"/>
      <c r="D12" s="236"/>
      <c r="E12" s="236"/>
      <c r="F12" s="254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231" t="s">
        <v>106</v>
      </c>
      <c r="B23" s="232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231" t="s">
        <v>109</v>
      </c>
      <c r="B26" s="232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231" t="s">
        <v>110</v>
      </c>
      <c r="B27" s="232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259" t="s">
        <v>139</v>
      </c>
      <c r="B31" s="92" t="s">
        <v>140</v>
      </c>
      <c r="C31" s="260">
        <f>C33</f>
        <v>222037.11</v>
      </c>
      <c r="D31" s="251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250"/>
      <c r="B32" s="24" t="s">
        <v>141</v>
      </c>
      <c r="C32" s="252"/>
      <c r="D32" s="252"/>
      <c r="E32" s="55">
        <f t="shared" si="0"/>
        <v>0</v>
      </c>
      <c r="F32" s="56"/>
    </row>
    <row r="33" spans="1:6" ht="16.5" thickBot="1">
      <c r="A33" s="245" t="s">
        <v>142</v>
      </c>
      <c r="B33" s="41" t="s">
        <v>143</v>
      </c>
      <c r="C33" s="247">
        <v>222037.11</v>
      </c>
      <c r="D33" s="247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246"/>
      <c r="B34" s="26" t="s">
        <v>144</v>
      </c>
      <c r="C34" s="248"/>
      <c r="D34" s="248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>
      <c r="A2" s="238"/>
      <c r="B2" s="240"/>
      <c r="C2" s="256"/>
      <c r="D2" s="242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233" t="s">
        <v>77</v>
      </c>
      <c r="B6" s="22" t="s">
        <v>78</v>
      </c>
      <c r="C6" s="257">
        <f>SUM(C8:C9)</f>
        <v>8682000</v>
      </c>
      <c r="D6" s="235">
        <f>SUM(D8:D10)</f>
        <v>2319408.6</v>
      </c>
      <c r="E6" s="235">
        <f>SUM(E8:E9)</f>
        <v>6362613.7199999997</v>
      </c>
      <c r="F6" s="261">
        <f t="shared" ref="F6:F27" si="0">D6/C6*100</f>
        <v>26.715141672425709</v>
      </c>
    </row>
    <row r="7" spans="1:6" ht="13.5" customHeight="1" thickBot="1">
      <c r="A7" s="234"/>
      <c r="B7" s="21" t="s">
        <v>79</v>
      </c>
      <c r="C7" s="258"/>
      <c r="D7" s="236"/>
      <c r="E7" s="236"/>
      <c r="F7" s="262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233" t="s">
        <v>86</v>
      </c>
      <c r="B11" s="22" t="s">
        <v>87</v>
      </c>
      <c r="C11" s="257">
        <f>SUM(C13:C15)</f>
        <v>2623000</v>
      </c>
      <c r="D11" s="235">
        <f>SUM(D13:D15)</f>
        <v>200062.5</v>
      </c>
      <c r="E11" s="235">
        <f>SUM(E13:E15)</f>
        <v>2422937.5</v>
      </c>
      <c r="F11" s="253">
        <f t="shared" si="0"/>
        <v>7.6272398017537171</v>
      </c>
    </row>
    <row r="12" spans="1:6" ht="15.75" customHeight="1" thickBot="1">
      <c r="A12" s="234"/>
      <c r="B12" s="21" t="s">
        <v>79</v>
      </c>
      <c r="C12" s="258"/>
      <c r="D12" s="236"/>
      <c r="E12" s="236"/>
      <c r="F12" s="254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231" t="s">
        <v>106</v>
      </c>
      <c r="B23" s="232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231" t="s">
        <v>109</v>
      </c>
      <c r="B26" s="232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231" t="s">
        <v>110</v>
      </c>
      <c r="B27" s="232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259" t="s">
        <v>139</v>
      </c>
      <c r="B32" s="92" t="s">
        <v>140</v>
      </c>
      <c r="C32" s="260">
        <f>C34</f>
        <v>5064.0200000000004</v>
      </c>
      <c r="D32" s="251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250"/>
      <c r="B33" s="24" t="s">
        <v>141</v>
      </c>
      <c r="C33" s="252"/>
      <c r="D33" s="252"/>
      <c r="E33" s="55">
        <f t="shared" si="0"/>
        <v>0</v>
      </c>
      <c r="F33" s="56"/>
    </row>
    <row r="34" spans="1:6" ht="16.5" thickBot="1">
      <c r="A34" s="245" t="s">
        <v>142</v>
      </c>
      <c r="B34" s="41" t="s">
        <v>143</v>
      </c>
      <c r="C34" s="247">
        <v>5064.0200000000004</v>
      </c>
      <c r="D34" s="247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246"/>
      <c r="B35" s="26" t="s">
        <v>144</v>
      </c>
      <c r="C35" s="248"/>
      <c r="D35" s="248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17657064.16</v>
      </c>
      <c r="D2" s="43">
        <f>SUM(D3:D8)</f>
        <v>3243448.8099999996</v>
      </c>
      <c r="E2" s="55">
        <f>D2-C2</f>
        <v>-14413615.350000001</v>
      </c>
      <c r="F2" s="56">
        <f>D2/C2*100</f>
        <v>18.369128529009089</v>
      </c>
    </row>
    <row r="3" spans="1:6" ht="23.25" thickBot="1">
      <c r="A3" s="95">
        <v>102</v>
      </c>
      <c r="B3" s="26" t="s">
        <v>120</v>
      </c>
      <c r="C3" s="44">
        <f>780500+235700</f>
        <v>1016200</v>
      </c>
      <c r="D3" s="44">
        <f>144305.9+37914.28</f>
        <v>182220.18</v>
      </c>
      <c r="E3" s="55">
        <f t="shared" ref="E3:E38" si="0">D3-C3</f>
        <v>-833979.82000000007</v>
      </c>
      <c r="F3" s="56">
        <f>D3/C3*100</f>
        <v>17.931527258413698</v>
      </c>
    </row>
    <row r="4" spans="1:6" ht="45.75" thickBot="1">
      <c r="A4" s="95">
        <v>104</v>
      </c>
      <c r="B4" s="87" t="s">
        <v>4</v>
      </c>
      <c r="C4" s="44">
        <f>4390400+1100+1326300+195400+515800+20000+15000+10000+7600</f>
        <v>6481600</v>
      </c>
      <c r="D4" s="44">
        <f>862775.73+200+187780.83+72635.59+39917.99+3173+723.49</f>
        <v>1167206.6300000001</v>
      </c>
      <c r="E4" s="55">
        <f t="shared" si="0"/>
        <v>-5314393.37</v>
      </c>
      <c r="F4" s="56">
        <f>D4/C4*100</f>
        <v>18.008001573685512</v>
      </c>
    </row>
    <row r="5" spans="1:6" ht="38.25" customHeight="1" thickBot="1">
      <c r="A5" s="112">
        <v>106</v>
      </c>
      <c r="B5" s="120" t="s">
        <v>152</v>
      </c>
      <c r="C5" s="44">
        <v>204500</v>
      </c>
      <c r="D5" s="44">
        <v>0</v>
      </c>
      <c r="E5" s="55">
        <f t="shared" si="0"/>
        <v>-204500</v>
      </c>
      <c r="F5" s="56">
        <f>D5/C5*100</f>
        <v>0</v>
      </c>
    </row>
    <row r="6" spans="1:6" ht="25.5" customHeight="1" thickBot="1">
      <c r="A6" s="95">
        <v>107</v>
      </c>
      <c r="B6" s="113" t="s">
        <v>154</v>
      </c>
      <c r="C6" s="44">
        <v>1000000</v>
      </c>
      <c r="D6" s="44">
        <v>0</v>
      </c>
      <c r="E6" s="55">
        <f t="shared" si="0"/>
        <v>-1000000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5">
        <v>113</v>
      </c>
      <c r="B8" s="26" t="s">
        <v>121</v>
      </c>
      <c r="C8" s="44">
        <f>100000+70000+230000+10000+1205800+364200+293000+224000+1500+500+2594300+783464.16+642000+2333000+25000+24000+4000</f>
        <v>8904764.1600000001</v>
      </c>
      <c r="D8" s="45">
        <f>21257.7+196154.95+235755.53+54973.55+20696.91+4560+111.75+522542.99+126987.27+277874.43+418206.76+4978+9724+198.16</f>
        <v>1894021.9999999998</v>
      </c>
      <c r="E8" s="55">
        <f t="shared" si="0"/>
        <v>-7010742.1600000001</v>
      </c>
      <c r="F8" s="56">
        <f t="shared" si="1"/>
        <v>21.26976038857833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f>D10</f>
        <v>64132.65</v>
      </c>
      <c r="E9" s="55">
        <f t="shared" si="0"/>
        <v>-337967.35</v>
      </c>
      <c r="F9" s="56">
        <f t="shared" si="1"/>
        <v>15.949428002984334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f>30098.11+33034.54+1000</f>
        <v>64132.65</v>
      </c>
      <c r="E10" s="55">
        <f t="shared" si="0"/>
        <v>-337967.35</v>
      </c>
      <c r="F10" s="56">
        <f t="shared" si="1"/>
        <v>15.949428002984334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0</v>
      </c>
      <c r="E11" s="55">
        <f t="shared" si="0"/>
        <v>-370800</v>
      </c>
      <c r="F11" s="56">
        <f t="shared" si="1"/>
        <v>0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0</v>
      </c>
      <c r="E13" s="55">
        <f t="shared" si="0"/>
        <v>-80000</v>
      </c>
      <c r="F13" s="56">
        <f t="shared" si="1"/>
        <v>0</v>
      </c>
    </row>
    <row r="14" spans="1:6" ht="16.5" thickBot="1">
      <c r="A14" s="97">
        <v>400</v>
      </c>
      <c r="B14" s="39" t="s">
        <v>64</v>
      </c>
      <c r="C14" s="43">
        <f>SUM(C15:C16)</f>
        <v>12560106.039999999</v>
      </c>
      <c r="D14" s="43">
        <f>SUM(D15:D16)</f>
        <v>569526.72</v>
      </c>
      <c r="E14" s="55">
        <f t="shared" si="0"/>
        <v>-11990579.319999998</v>
      </c>
      <c r="F14" s="56">
        <f t="shared" si="1"/>
        <v>4.534410125091588</v>
      </c>
    </row>
    <row r="15" spans="1:6" ht="16.5" thickBot="1">
      <c r="A15" s="95">
        <v>409</v>
      </c>
      <c r="B15" s="26" t="s">
        <v>18</v>
      </c>
      <c r="C15" s="44">
        <f>4720506.04+500000+1000000+6124600</f>
        <v>12345106.039999999</v>
      </c>
      <c r="D15" s="44">
        <f>356246+141280.72</f>
        <v>497526.72</v>
      </c>
      <c r="E15" s="55">
        <f t="shared" si="0"/>
        <v>-11847579.319999998</v>
      </c>
      <c r="F15" s="56">
        <f t="shared" si="1"/>
        <v>4.030153474485668</v>
      </c>
    </row>
    <row r="16" spans="1:6" ht="23.25" thickBot="1">
      <c r="A16" s="95">
        <v>412</v>
      </c>
      <c r="B16" s="26" t="s">
        <v>127</v>
      </c>
      <c r="C16" s="44">
        <f>40000+20000+155000</f>
        <v>215000</v>
      </c>
      <c r="D16" s="44">
        <f>72000</f>
        <v>72000</v>
      </c>
      <c r="E16" s="55">
        <f t="shared" si="0"/>
        <v>-143000</v>
      </c>
      <c r="F16" s="56">
        <f t="shared" si="1"/>
        <v>33.488372093023258</v>
      </c>
    </row>
    <row r="17" spans="1:7" ht="16.5" thickBot="1">
      <c r="A17" s="97">
        <v>500</v>
      </c>
      <c r="B17" s="24" t="s">
        <v>128</v>
      </c>
      <c r="C17" s="43">
        <f>SUM(C18:C19)</f>
        <v>5355684.1099999994</v>
      </c>
      <c r="D17" s="43">
        <f>SUM(D18:D19)</f>
        <v>2119428.11</v>
      </c>
      <c r="E17" s="55">
        <f t="shared" si="0"/>
        <v>-3236255.9999999995</v>
      </c>
      <c r="F17" s="56">
        <f t="shared" si="1"/>
        <v>39.57343387827256</v>
      </c>
      <c r="G17">
        <f>D17/D38*100</f>
        <v>27.164307836136754</v>
      </c>
    </row>
    <row r="18" spans="1:7" ht="16.5" thickBot="1">
      <c r="A18" s="95">
        <v>502</v>
      </c>
      <c r="B18" s="26" t="s">
        <v>19</v>
      </c>
      <c r="C18" s="44">
        <f>100000+300000+1530000</f>
        <v>1930000</v>
      </c>
      <c r="D18" s="44">
        <f>36658.47+88492.45+1321634.44</f>
        <v>1446785.3599999999</v>
      </c>
      <c r="E18" s="55">
        <f t="shared" si="0"/>
        <v>-483214.64000000013</v>
      </c>
      <c r="F18" s="56">
        <f t="shared" si="1"/>
        <v>74.962972020725388</v>
      </c>
    </row>
    <row r="19" spans="1:7" ht="16.5" thickBot="1">
      <c r="A19" s="95">
        <v>503</v>
      </c>
      <c r="B19" s="26" t="s">
        <v>22</v>
      </c>
      <c r="C19" s="44">
        <f>2450000+205684.11+270000+500000</f>
        <v>3425684.11</v>
      </c>
      <c r="D19" s="44">
        <f>580012.35+39960+52670.4</f>
        <v>672642.75</v>
      </c>
      <c r="E19" s="55">
        <f t="shared" si="0"/>
        <v>-2753041.36</v>
      </c>
      <c r="F19" s="56">
        <f t="shared" si="1"/>
        <v>19.635282425383934</v>
      </c>
    </row>
    <row r="20" spans="1:7" ht="16.5" thickBot="1">
      <c r="A20" s="97">
        <v>700</v>
      </c>
      <c r="B20" s="24" t="s">
        <v>129</v>
      </c>
      <c r="C20" s="43">
        <f>C21</f>
        <v>25000</v>
      </c>
      <c r="D20" s="43">
        <f>D21</f>
        <v>848</v>
      </c>
      <c r="E20" s="55">
        <f t="shared" si="0"/>
        <v>-24152</v>
      </c>
      <c r="F20" s="56">
        <f t="shared" si="1"/>
        <v>3.3919999999999999</v>
      </c>
    </row>
    <row r="21" spans="1:7" ht="16.5" thickBot="1">
      <c r="A21" s="95">
        <v>707</v>
      </c>
      <c r="B21" s="26" t="s">
        <v>23</v>
      </c>
      <c r="C21" s="44">
        <f>25000</f>
        <v>25000</v>
      </c>
      <c r="D21" s="44">
        <f>848</f>
        <v>848</v>
      </c>
      <c r="E21" s="55">
        <f t="shared" si="0"/>
        <v>-24152</v>
      </c>
      <c r="F21" s="56">
        <f t="shared" si="1"/>
        <v>3.3919999999999999</v>
      </c>
    </row>
    <row r="22" spans="1:7" ht="16.5" thickBot="1">
      <c r="A22" s="97">
        <v>800</v>
      </c>
      <c r="B22" s="24" t="s">
        <v>130</v>
      </c>
      <c r="C22" s="43">
        <f>SUM(C23:C24)</f>
        <v>7899900</v>
      </c>
      <c r="D22" s="43">
        <f>SUM(D23:D24)</f>
        <v>1704389.19</v>
      </c>
      <c r="E22" s="55">
        <f t="shared" si="0"/>
        <v>-6195510.8100000005</v>
      </c>
      <c r="F22" s="56">
        <f t="shared" si="1"/>
        <v>21.574819807845667</v>
      </c>
      <c r="G22">
        <f>D22/D38*100</f>
        <v>21.84483276941334</v>
      </c>
    </row>
    <row r="23" spans="1:7" ht="16.5" thickBot="1">
      <c r="A23" s="95">
        <v>801</v>
      </c>
      <c r="B23" s="26" t="s">
        <v>131</v>
      </c>
      <c r="C23" s="44">
        <f>2878400+15000+1808300+1602700+10000+1283700+93800+20000</f>
        <v>7711900</v>
      </c>
      <c r="D23" s="44">
        <f>953359.21+242321.76+310359.6+152724.62+15624</f>
        <v>1674389.19</v>
      </c>
      <c r="E23" s="55">
        <f t="shared" si="0"/>
        <v>-6037510.8100000005</v>
      </c>
      <c r="F23" s="56">
        <f t="shared" si="1"/>
        <v>21.711759618252309</v>
      </c>
    </row>
    <row r="24" spans="1:7" ht="16.5" thickBot="1">
      <c r="A24" s="95">
        <v>804</v>
      </c>
      <c r="B24" s="26" t="s">
        <v>132</v>
      </c>
      <c r="C24" s="44">
        <v>188000</v>
      </c>
      <c r="D24" s="44">
        <v>30000</v>
      </c>
      <c r="E24" s="55">
        <f t="shared" si="0"/>
        <v>-158000</v>
      </c>
      <c r="F24" s="56">
        <f t="shared" si="1"/>
        <v>15.957446808510639</v>
      </c>
    </row>
    <row r="25" spans="1:7" ht="16.5" hidden="1" thickBot="1">
      <c r="A25" s="97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95">
        <v>1003</v>
      </c>
      <c r="B26" s="26" t="s">
        <v>134</v>
      </c>
      <c r="C26" s="44">
        <v>0</v>
      </c>
      <c r="D26" s="44">
        <v>0</v>
      </c>
      <c r="E26" s="55">
        <f t="shared" si="0"/>
        <v>0</v>
      </c>
      <c r="F26" s="56" t="e">
        <f t="shared" si="1"/>
        <v>#DIV/0!</v>
      </c>
    </row>
    <row r="27" spans="1:7" ht="16.5" thickBot="1">
      <c r="A27" s="97">
        <v>1100</v>
      </c>
      <c r="B27" s="24" t="s">
        <v>135</v>
      </c>
      <c r="C27" s="43">
        <f>C28+C29</f>
        <v>682580</v>
      </c>
      <c r="D27" s="43">
        <f>D28+D29</f>
        <v>96879.84</v>
      </c>
      <c r="E27" s="55">
        <f t="shared" si="0"/>
        <v>-585700.16</v>
      </c>
      <c r="F27" s="56">
        <f t="shared" si="1"/>
        <v>14.193184681649038</v>
      </c>
    </row>
    <row r="28" spans="1:7" ht="16.5" thickBot="1">
      <c r="A28" s="95">
        <v>1101</v>
      </c>
      <c r="B28" s="26" t="s">
        <v>136</v>
      </c>
      <c r="C28" s="44">
        <v>582580</v>
      </c>
      <c r="D28" s="44">
        <v>96879.84</v>
      </c>
      <c r="E28" s="55">
        <f t="shared" si="0"/>
        <v>-485700.16000000003</v>
      </c>
      <c r="F28" s="56">
        <f t="shared" si="1"/>
        <v>16.629448316111091</v>
      </c>
    </row>
    <row r="29" spans="1:7" ht="16.5" customHeight="1" thickBot="1">
      <c r="A29" s="95">
        <v>1102</v>
      </c>
      <c r="B29" s="26" t="s">
        <v>151</v>
      </c>
      <c r="C29" s="49">
        <v>100000</v>
      </c>
      <c r="D29" s="49">
        <v>0</v>
      </c>
      <c r="E29" s="55">
        <f t="shared" si="0"/>
        <v>-100000</v>
      </c>
      <c r="F29" s="56">
        <f t="shared" si="1"/>
        <v>0</v>
      </c>
    </row>
    <row r="30" spans="1:7" ht="16.5" thickBot="1">
      <c r="A30" s="100">
        <v>1200</v>
      </c>
      <c r="B30" s="104" t="s">
        <v>137</v>
      </c>
      <c r="C30" s="105">
        <v>0</v>
      </c>
      <c r="D30" s="105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102">
        <v>1204</v>
      </c>
      <c r="B31" s="91" t="s">
        <v>150</v>
      </c>
      <c r="C31" s="109">
        <v>70000</v>
      </c>
      <c r="D31" s="111">
        <v>3600</v>
      </c>
      <c r="E31" s="55">
        <f t="shared" ref="E31" si="2">D31-C31</f>
        <v>-66400</v>
      </c>
      <c r="F31" s="56">
        <f t="shared" ref="F31" si="3">D31/C31*100</f>
        <v>5.1428571428571423</v>
      </c>
    </row>
    <row r="32" spans="1:7" ht="23.25" hidden="1" thickBot="1">
      <c r="A32" s="102">
        <v>1300</v>
      </c>
      <c r="B32" s="91" t="s">
        <v>161</v>
      </c>
      <c r="C32" s="103">
        <v>0</v>
      </c>
      <c r="D32" s="110"/>
      <c r="E32" s="55"/>
      <c r="F32" s="56"/>
    </row>
    <row r="33" spans="1:6" ht="23.25" hidden="1" thickBot="1">
      <c r="A33" s="106">
        <v>1301</v>
      </c>
      <c r="B33" s="107" t="s">
        <v>161</v>
      </c>
      <c r="C33" s="108">
        <v>0</v>
      </c>
      <c r="D33" s="108">
        <v>0</v>
      </c>
      <c r="E33" s="55">
        <f t="shared" si="0"/>
        <v>0</v>
      </c>
      <c r="F33" s="56" t="e">
        <f t="shared" si="1"/>
        <v>#DIV/0!</v>
      </c>
    </row>
    <row r="34" spans="1:6" ht="16.5" hidden="1" thickBot="1">
      <c r="A34" s="263" t="s">
        <v>139</v>
      </c>
      <c r="B34" s="101" t="s">
        <v>140</v>
      </c>
      <c r="C34" s="264">
        <f>C36</f>
        <v>0</v>
      </c>
      <c r="D34" s="265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50"/>
      <c r="B35" s="24" t="s">
        <v>141</v>
      </c>
      <c r="C35" s="252"/>
      <c r="D35" s="252"/>
      <c r="E35" s="55">
        <f t="shared" si="0"/>
        <v>0</v>
      </c>
      <c r="F35" s="56"/>
    </row>
    <row r="36" spans="1:6" ht="16.5" hidden="1" thickBot="1">
      <c r="A36" s="245" t="s">
        <v>142</v>
      </c>
      <c r="B36" s="41" t="s">
        <v>143</v>
      </c>
      <c r="C36" s="247">
        <v>0</v>
      </c>
      <c r="D36" s="247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246"/>
      <c r="B37" s="26" t="s">
        <v>144</v>
      </c>
      <c r="C37" s="248"/>
      <c r="D37" s="248"/>
      <c r="E37" s="55">
        <f t="shared" si="0"/>
        <v>0</v>
      </c>
      <c r="F37" s="56"/>
    </row>
    <row r="38" spans="1:6" ht="16.5" thickBot="1">
      <c r="A38" s="97">
        <v>9800</v>
      </c>
      <c r="B38" s="24" t="s">
        <v>145</v>
      </c>
      <c r="C38" s="43">
        <f>C34+C30+C27+C25+C22+C20+C17+C14+C11+C9+C2+C32+C31</f>
        <v>45023234.310000002</v>
      </c>
      <c r="D38" s="43">
        <f>D34+D30+D27+D25+D22+D20+D17+D14+D11+D9+D2+D31</f>
        <v>7802253.3199999994</v>
      </c>
      <c r="E38" s="55">
        <f t="shared" si="0"/>
        <v>-37220980.990000002</v>
      </c>
      <c r="F38" s="56">
        <f t="shared" si="1"/>
        <v>17.329393233455598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01.04.2019</vt:lpstr>
      <vt:lpstr>Расходы на 01.04.2019</vt:lpstr>
      <vt:lpstr>Доходы на 01.04.2020</vt:lpstr>
      <vt:lpstr>Расходы на 01.04.2020</vt:lpstr>
      <vt:lpstr>Доходы на 01.07.2020</vt:lpstr>
      <vt:lpstr>Расходы на 01.07.2020</vt:lpstr>
      <vt:lpstr>Доходы на 01.10.2020</vt:lpstr>
      <vt:lpstr>Расходы на 01.10.2020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2020-10-06T10:33:22Z</cp:lastPrinted>
  <dcterms:created xsi:type="dcterms:W3CDTF">2010-01-27T11:07:58Z</dcterms:created>
  <dcterms:modified xsi:type="dcterms:W3CDTF">2020-10-22T06:50:25Z</dcterms:modified>
</cp:coreProperties>
</file>