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firstSheet="18" activeTab="22"/>
  </bookViews>
  <sheets>
    <sheet name="01.04" sheetId="1" r:id="rId1"/>
    <sheet name="01.10" sheetId="2" r:id="rId2"/>
    <sheet name="Доходы 01.04.2012 г." sheetId="4" r:id="rId3"/>
    <sheet name="Расходы 01.04.2012 г." sheetId="5" r:id="rId4"/>
    <sheet name="Доходы 01.07.2012" sheetId="3" r:id="rId5"/>
    <sheet name="Расходы 01.07.2012" sheetId="6" r:id="rId6"/>
    <sheet name="Доходы 01.04.2013" sheetId="7" r:id="rId7"/>
    <sheet name="Расходы на 01.04.2013 г." sheetId="8" r:id="rId8"/>
    <sheet name="Расходы на 01.04.2018" sheetId="10" r:id="rId9"/>
    <sheet name="Доходы на 01.04.2018" sheetId="11" r:id="rId10"/>
    <sheet name="Доходы на 01.04.2019" sheetId="12" r:id="rId11"/>
    <sheet name="Расходы на 01.04.2019" sheetId="13" r:id="rId12"/>
    <sheet name="Доходы на 01.04.2020" sheetId="14" r:id="rId13"/>
    <sheet name="Расходы на 01.04.2020" sheetId="15" r:id="rId14"/>
    <sheet name="Доходы на 01.07.2020" sheetId="16" r:id="rId15"/>
    <sheet name="Расходы на 01.07.2020" sheetId="17" r:id="rId16"/>
    <sheet name="Доходы на 01.10.2020" sheetId="18" r:id="rId17"/>
    <sheet name="Расходы на 01.10.2020" sheetId="19" r:id="rId18"/>
    <sheet name="Доходы на 01.10.2021" sheetId="20" r:id="rId19"/>
    <sheet name="Расходы на 01.10.2021" sheetId="21" r:id="rId20"/>
    <sheet name="Доходы на 01.07.2022 " sheetId="22" r:id="rId21"/>
    <sheet name="Расходы на 01.07.2022" sheetId="23" r:id="rId22"/>
    <sheet name="Доходы на 01.10.2022" sheetId="24" r:id="rId23"/>
    <sheet name="Расходы на 01.10.2022" sheetId="25" r:id="rId24"/>
  </sheets>
  <calcPr calcId="144525"/>
</workbook>
</file>

<file path=xl/sharedStrings.xml><?xml version="1.0" encoding="utf-8"?>
<sst xmlns="http://schemas.openxmlformats.org/spreadsheetml/2006/main" count="1470" uniqueCount="222">
  <si>
    <t>Анализ исполнения расходной части за период 1 квартал 2010 года</t>
  </si>
  <si>
    <t>Наименование</t>
  </si>
  <si>
    <t>Первоначальный план 2009 г.</t>
  </si>
  <si>
    <t>План январь-март 2010 г.</t>
  </si>
  <si>
    <t>Исполнение 1 квартал 2010 г.</t>
  </si>
  <si>
    <t>Отклонение</t>
  </si>
  <si>
    <t xml:space="preserve">% исполнения </t>
  </si>
  <si>
    <t>Темп роста план ут  /     план п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</si>
  <si>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</si>
  <si>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</si>
  <si>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</si>
  <si>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0104</t>
  </si>
  <si>
    <t>Резервные фонды</t>
  </si>
  <si>
    <t>0112</t>
  </si>
  <si>
    <t>Другие общегосударственные вопросы, в т.ч.</t>
  </si>
  <si>
    <t>0114</t>
  </si>
  <si>
    <t>МУ ЦБ</t>
  </si>
  <si>
    <t>МУ ХТО</t>
  </si>
  <si>
    <t>Оценка недвижимости, признание прав и регулирование отношений по государственной и муниципальной собственности</t>
  </si>
  <si>
    <t>Сельская целевая программа «Уточнение записей в похозяйственных книгах» на 2010 г.</t>
  </si>
  <si>
    <t>Сельская целевая программа «Финансирование расходов по территориальным органам местного самоуправления»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</si>
  <si>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</si>
  <si>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</si>
  <si>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</si>
  <si>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</si>
  <si>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</si>
  <si>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0314</t>
  </si>
  <si>
    <t>Дорожное хозяйство</t>
  </si>
  <si>
    <t>0409</t>
  </si>
  <si>
    <t>Другие вопросы в области национальной экономики</t>
  </si>
  <si>
    <t>0412</t>
  </si>
  <si>
    <t>Коммунальное хозяйство</t>
  </si>
  <si>
    <t>0502</t>
  </si>
  <si>
    <t>Благоустройство</t>
  </si>
  <si>
    <t>0503</t>
  </si>
  <si>
    <t>Молодежная политика и оздоровление детей</t>
  </si>
  <si>
    <t>0707</t>
  </si>
  <si>
    <t>Культура, в т.ч.</t>
  </si>
  <si>
    <t>0801</t>
  </si>
  <si>
    <t>МУ МКС</t>
  </si>
  <si>
    <t>МУК БО</t>
  </si>
  <si>
    <t>СЦП "Развитие печатных средств" на 2010 г.</t>
  </si>
  <si>
    <t>0804</t>
  </si>
  <si>
    <t>СЦП "Памятные даты"</t>
  </si>
  <si>
    <t>0806</t>
  </si>
  <si>
    <t xml:space="preserve">Физическая культура и спорт </t>
  </si>
  <si>
    <t>0908</t>
  </si>
  <si>
    <t>Социальное обеспечение населения СЦП "Старшее поколение"</t>
  </si>
  <si>
    <t>1003</t>
  </si>
  <si>
    <t>Иные межбюджетные трансферты</t>
  </si>
  <si>
    <t>1104</t>
  </si>
  <si>
    <t>ИТОГО</t>
  </si>
  <si>
    <t>Зам. главы администрации Нововеличковского сельского поселения</t>
  </si>
  <si>
    <t>А.В. Акуменко</t>
  </si>
  <si>
    <t>Анализ исполнения расходной части за период 9 месяцев 2010 года</t>
  </si>
  <si>
    <t>План 2010 года</t>
  </si>
  <si>
    <t>План январь-сентябрь 2010 г.</t>
  </si>
  <si>
    <t>Исполнение          9 месяцев                2010 г.</t>
  </si>
  <si>
    <t>% исполнения 9 месяцев</t>
  </si>
  <si>
    <t>% исполнения к годовым назначениям</t>
  </si>
  <si>
    <t>МУ ОДА</t>
  </si>
  <si>
    <t>МУ "Культура"</t>
  </si>
  <si>
    <t>МУ "Спорт"</t>
  </si>
  <si>
    <t xml:space="preserve"> </t>
  </si>
  <si>
    <t>Код дохода по бюджетной классификации</t>
  </si>
  <si>
    <t>Наименование показателя</t>
  </si>
  <si>
    <t>Утвержденные бюджетные назначения</t>
  </si>
  <si>
    <t>Исполнено</t>
  </si>
  <si>
    <t xml:space="preserve">Неисполненные </t>
  </si>
  <si>
    <t>% исполнения</t>
  </si>
  <si>
    <t>назначения</t>
  </si>
  <si>
    <t>1 01 02000 01 0000 110</t>
  </si>
  <si>
    <t xml:space="preserve">Налог на доходы физических лиц </t>
  </si>
  <si>
    <t>1 05 03000 01 0000 110</t>
  </si>
  <si>
    <t>Единый сельскохозяйственный налог</t>
  </si>
  <si>
    <t>1 06 01030 10 0000 110</t>
  </si>
  <si>
    <t>Налог на имущество физических лиц</t>
  </si>
  <si>
    <t>1 06 06000 00 0000 110</t>
  </si>
  <si>
    <t>Земельный налог, всего,</t>
  </si>
  <si>
    <t>в том числе:</t>
  </si>
  <si>
    <t>1 06 06013 10 0000 110</t>
  </si>
  <si>
    <t xml:space="preserve"> - земельный налог, взимаемый по ставке, установленной подпунктом 1 пункта 1 ст 394 НК РФ, (с/хоз)</t>
  </si>
  <si>
    <t>1 06 06023 10 0000 110</t>
  </si>
  <si>
    <t xml:space="preserve"> - земельный налог, взимаемый по ставке, установленной подпунктом 2 пункта 1 ст 394 НК РФ, (не с/хоз)</t>
  </si>
  <si>
    <t>1 09 04050 10 0000 110</t>
  </si>
  <si>
    <t xml:space="preserve"> - земельный налог (по обязательствам, возникшим до 1 января 2006 года)</t>
  </si>
  <si>
    <t>1 11 05010 00 0000 120</t>
  </si>
  <si>
    <t>Доходы, получаемые в виде арендной платы за земли,</t>
  </si>
  <si>
    <t>1 11 05011 10 0021 120</t>
  </si>
  <si>
    <r>
      <rPr>
        <sz val="8"/>
        <color indexed="8"/>
        <rFont val="Times New Roman"/>
        <charset val="204"/>
      </rPr>
      <t xml:space="preserve"> - доходы, получаемые в виде арендной платы за земли </t>
    </r>
    <r>
      <rPr>
        <b/>
        <sz val="8"/>
        <color indexed="8"/>
        <rFont val="Times New Roman"/>
        <charset val="204"/>
      </rPr>
      <t xml:space="preserve">сельхоз назначения, </t>
    </r>
    <r>
      <rPr>
        <sz val="8"/>
        <color indexed="8"/>
        <rFont val="Times New Roman"/>
        <charset val="204"/>
      </rPr>
      <t xml:space="preserve">гос. собств. на которые не разграничена и которые распол. в границах поселений, а также средства от продажи права на заключение договоров аренды  указ-х земельных участков </t>
    </r>
  </si>
  <si>
    <t>1 11 05011 10 0023 120</t>
  </si>
  <si>
    <r>
      <rPr>
        <sz val="8"/>
        <color indexed="8"/>
        <rFont val="Times New Roman"/>
        <charset val="204"/>
      </rPr>
      <t xml:space="preserve"> - доходы, получаемые в виде арендной платы за земли </t>
    </r>
    <r>
      <rPr>
        <b/>
        <sz val="8"/>
        <color indexed="8"/>
        <rFont val="Times New Roman"/>
        <charset val="204"/>
      </rPr>
      <t xml:space="preserve">сельских населенных пунктов, </t>
    </r>
    <r>
      <rPr>
        <sz val="8"/>
        <color indexed="8"/>
        <rFont val="Times New Roman"/>
        <charset val="204"/>
      </rPr>
      <t xml:space="preserve">гос. собств. на которые не разграничена и которые распол. в границах поселений, а также средства от продажи права на заключение договоров аренды указ-х земельных участков  </t>
    </r>
  </si>
  <si>
    <t>1 11 05011 10 0024 120</t>
  </si>
  <si>
    <r>
      <rPr>
        <sz val="8"/>
        <color indexed="8"/>
        <rFont val="Times New Roman"/>
        <charset val="204"/>
      </rPr>
      <t xml:space="preserve"> - доходы, получаемые в виде арендной платы за земли </t>
    </r>
    <r>
      <rPr>
        <b/>
        <sz val="8"/>
        <color indexed="8"/>
        <rFont val="Times New Roman"/>
        <charset val="204"/>
      </rPr>
      <t xml:space="preserve">промышленности, энергетики, транспорта, связи и земли иного спец. назнач., </t>
    </r>
    <r>
      <rPr>
        <sz val="8"/>
        <color indexed="8"/>
        <rFont val="Times New Roman"/>
        <charset val="204"/>
      </rPr>
      <t xml:space="preserve">гос. собств. на которые не разграничена и которые распол. в границах поселений, а также средства от продажи права на заключение договоров аренды  указ-х земельных участков </t>
    </r>
  </si>
  <si>
    <t>1 11 05035 10 0000 120</t>
  </si>
  <si>
    <t xml:space="preserve">Доходы от сдачи в аренду имущества, находящегося в оперативном управлении органов управления поселений  </t>
  </si>
  <si>
    <t>1 14 06014 10 0000 430</t>
  </si>
  <si>
    <t>Доходы от продажи земельных участков, государственная собственность на которые не разграничена</t>
  </si>
  <si>
    <t>1 16 90050 10 0000 140</t>
  </si>
  <si>
    <t xml:space="preserve">Денежные взыскания (штрафы) и иные суммы, взыскиваемые с лиц, виновных в совершении преступлений, и в возмещение ущерба имуществу, зачиляемые в бюджеты поселений </t>
  </si>
  <si>
    <t>1 17 01050 10 0000 180</t>
  </si>
  <si>
    <t>Невыясненные поступления, зачисляемые в бюджеты поселений</t>
  </si>
  <si>
    <t>7 562,60</t>
  </si>
  <si>
    <t>1 18 05030 10 000 151</t>
  </si>
  <si>
    <t xml:space="preserve">Доходы  бюджетов поселений от возврата субсидий и субвенций прошлых лет из бюджетов муниципальных районов </t>
  </si>
  <si>
    <t>2 18 05010 10 0000 180</t>
  </si>
  <si>
    <t>Доходы бюджетов поселений от возврата бюджетными учреждениям остатков субсидий прошлых лет</t>
  </si>
  <si>
    <t>2 19 05000 10 0000 151</t>
  </si>
  <si>
    <t>Возврат остатков субсидий и субвенций и иных межбюджетных трансфертов, имеющих целевое назначение прошлых лет, из бюджетов поселений</t>
  </si>
  <si>
    <t>Итого собственных доходов</t>
  </si>
  <si>
    <t>2 02 00000 10 0000 151</t>
  </si>
  <si>
    <t>Безвозмездные поступления</t>
  </si>
  <si>
    <t>Итого доходов</t>
  </si>
  <si>
    <t>ВСЕГО ДОХОДОВ</t>
  </si>
  <si>
    <t>-20 740 395,91</t>
  </si>
  <si>
    <t>Код расходов по бюджетной классификации</t>
  </si>
  <si>
    <t>.Наименование показателя</t>
  </si>
  <si>
    <t>Неисполненные назначения</t>
  </si>
  <si>
    <t>% выполнения плана</t>
  </si>
  <si>
    <t>Общегосударственные вопросы</t>
  </si>
  <si>
    <t>Функционирование высшего должностного лица субъекта РФ и органа местного самоуправления</t>
  </si>
  <si>
    <t>Другие общегосударственные вопросы</t>
  </si>
  <si>
    <t>Национальная оборона</t>
  </si>
  <si>
    <t xml:space="preserve">Мобилизационная и вневойсковая подготовка </t>
  </si>
  <si>
    <t>Национальная безопасность и правоохранительная деятельность</t>
  </si>
  <si>
    <t>Предупреждение и ликвидация последствий чрезвычайных ситуаций и стихийных бедствий,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</si>
  <si>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</si>
  <si>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</si>
  <si>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Другие вопросы в области строительства, архитектуры и градостроительства</t>
  </si>
  <si>
    <t>Жилищно-коммунальное хозяйство</t>
  </si>
  <si>
    <t>Образование</t>
  </si>
  <si>
    <t>Культура, кинематография</t>
  </si>
  <si>
    <t>Культура</t>
  </si>
  <si>
    <t>Другие вопросы в области культуры</t>
  </si>
  <si>
    <t>Социальная политика</t>
  </si>
  <si>
    <t>Социальное обеспечение населения</t>
  </si>
  <si>
    <t>Физическая культура и спорт</t>
  </si>
  <si>
    <t xml:space="preserve">Физическая культура </t>
  </si>
  <si>
    <t>Средства массовой информации</t>
  </si>
  <si>
    <t>Печать и периодические издательства</t>
  </si>
  <si>
    <t>13 00</t>
  </si>
  <si>
    <t xml:space="preserve">Обслуживание государственного и </t>
  </si>
  <si>
    <t>муниципального долга</t>
  </si>
  <si>
    <t>13 01</t>
  </si>
  <si>
    <t xml:space="preserve">Обслуживание внутреннего </t>
  </si>
  <si>
    <t>государственного и муниципального долга</t>
  </si>
  <si>
    <t>ВСЕГО РАСХОДОВ:</t>
  </si>
  <si>
    <t>1 09 04053 10 0000 110</t>
  </si>
  <si>
    <t>1 17 05050 10 0000 180</t>
  </si>
  <si>
    <t>Прочие неналоговые доходы бюджетов поселений</t>
  </si>
  <si>
    <t>Массовый спорт</t>
  </si>
  <si>
    <t>Другие вопросы в области средств массовой информации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</si>
  <si>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</si>
  <si>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</si>
  <si>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Обслуживание государственного и муниципального долга</t>
  </si>
  <si>
    <t>10302230 01 0000 110</t>
  </si>
  <si>
    <t>Доходы от уплаты акцизов на нефтепродукты, производимые на территории РФ</t>
  </si>
  <si>
    <t>1 06 06033 10 0000 110</t>
  </si>
  <si>
    <t xml:space="preserve"> - земельный налог с организаций, обладающих земельным участком, расположенным в границах сельских поселений</t>
  </si>
  <si>
    <t>1 06 06043 10 0000 110</t>
  </si>
  <si>
    <t xml:space="preserve"> - земельный налог с физических лиц, обладающих земельным участком, расположенным в границах сельских поселений</t>
  </si>
  <si>
    <t>2 02 15001 10 0000 151</t>
  </si>
  <si>
    <t>Дотации бюджетам сельских поселений на поддержку мер по обеспечению сбалансированности бюджетов</t>
  </si>
  <si>
    <t>2 02 29999 10 0000 151</t>
  </si>
  <si>
    <t>Прочиесубсидии бюджетам сельских поселений</t>
  </si>
  <si>
    <t>2 02 30024 10 0000 151</t>
  </si>
  <si>
    <t>Субвенции бюджетов РФ и МО (админ.комиссия)</t>
  </si>
  <si>
    <t>2 02 35118 10 0000 151</t>
  </si>
  <si>
    <t>Субвенции бюджетов РФ и МО (ВУСы)</t>
  </si>
  <si>
    <t>2 02 04000 00 0000 151</t>
  </si>
  <si>
    <t>Прочие межбюджетные трансферты, передаваемые бюджетам сельских поселений</t>
  </si>
  <si>
    <t>2 07 00000 10 0000 180</t>
  </si>
  <si>
    <t>Прочие безвозмездные поступления</t>
  </si>
  <si>
    <t>1 14 02053 10 0000 410</t>
  </si>
  <si>
    <t>Обучение</t>
  </si>
  <si>
    <t>1  03 02230 01 0000 110</t>
  </si>
  <si>
    <t>1 03 02231 01 0000 110</t>
  </si>
  <si>
    <t>Дохлды от уплаты акцизов на дизельное топливо, подлежащее распределению между бюджетами субъктов Российской Федерации и местными бюджетами с учетом установленных дефферинцированных нормативов отчислений в местные бюжеты (по нормативаим,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</si>
  <si>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</si>
  <si>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(инженерных) двигателей, подлежащие распределению между бюджетами субъектов Российской Федерации и местными бюджетами с учетом установленных дефферинцированных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</si>
  <si>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</si>
  <si>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дефферинцированных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</si>
  <si>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</si>
  <si>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дефферинцированных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субъектов Российской Федерации)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</si>
  <si>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</si>
  <si>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НК РФ.</t>
  </si>
  <si>
    <t>1 01 02030 01 0000 110</t>
  </si>
  <si>
    <t>Налог на доходы физических лиц с доходов, полученных физическими лицами в соответствии со ст. 228 НК РФ</t>
  </si>
  <si>
    <t>1 01 02040 01 0000 110</t>
  </si>
  <si>
    <t>Налог на доходы физических лиц в виде фиксированных авансовых патежей с доходов, полученных физическими лицами, являющимися иностранными гражданами, осуществляющимми трудовую деятельность по найму на основании патента в соответствии со ст.227.1 НК РФ.</t>
  </si>
  <si>
    <t>1 05 03010 01 0000 110</t>
  </si>
  <si>
    <t>Земельный налог, всего, в том числе:</t>
  </si>
  <si>
    <t>-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</si>
  <si>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</si>
  <si>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исключениемимущества муниципальных бюджетных и автономных учреждений, а так же имущества муниципальных унитарных предприятий, в том числе казенных)</t>
  </si>
  <si>
    <t>1 16 07090 10 0000 140</t>
  </si>
  <si>
    <t>Иные штрафы , неустойки, пени,,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учреждением) сельсого поселения.</t>
  </si>
  <si>
    <t>2 02 00000 10 0000 150</t>
  </si>
  <si>
    <t>Безвозмездные поступления, в том числе:</t>
  </si>
  <si>
    <t>2 02 15001 10 0000 150</t>
  </si>
  <si>
    <t>Дотации бюджетам сельских поселений на выравнивание бюджетной обеспеченности из бюджета субъекта РФ</t>
  </si>
  <si>
    <t>2 02 29999 10 0000 150</t>
  </si>
  <si>
    <t>2 02 30024 10 0000 150</t>
  </si>
  <si>
    <t>2 02 35118 10 0000 150</t>
  </si>
  <si>
    <t>2 07 05030 10 0000 150</t>
  </si>
  <si>
    <t>Фонд оплаты труда государственных (муниципальнгых) органов</t>
  </si>
  <si>
    <t>Обслуживание муниципального долга</t>
  </si>
  <si>
    <t>2 0219999 10 0000 150</t>
  </si>
  <si>
    <t>Прочие дотации бюджетам сельских поселений</t>
  </si>
  <si>
    <t>2 02 20077 10 0000 150</t>
  </si>
  <si>
    <t>Субсидии бюджетам сельских поселений на софинансирование капитальных вложений в объекты мунгиципальной собственности</t>
  </si>
  <si>
    <t>2 02 049999 10 0000 150</t>
  </si>
  <si>
    <t>Иные пенсии, социальные доплаты к пенсиям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</si>
  <si>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</si>
  <si>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</si>
  <si>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1 13 02995 10 0000 130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</si>
  <si>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</si>
  <si>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безвозмездные поступления в бюджеты сельских поселений</t>
  </si>
  <si>
    <t>2 0216001 10 0000 150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</si>
  <si>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</si>
  <si>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1 01 02080 01 0000 110</t>
  </si>
  <si>
    <t>Налог на доходы физческих лиц в части суммы налога, превышающей 650 000 рублей, относящейся к части налоговой базы, превышающей  5000 000 рублей (за исключением налога на доходы физичексих лиц с сумм прибыли контролируемой иностранной компании, в том числефиксрованной прибыли контролируемойинсотранной компании)</t>
  </si>
</sst>
</file>

<file path=xl/styles.xml><?xml version="1.0" encoding="utf-8"?>
<styleSheet xmlns="http://schemas.openxmlformats.org/spreadsheetml/2006/main">
  <numFmts count="7">
    <numFmt numFmtId="176" formatCode="_-* #\ ##0.00\ &quot;₽&quot;_-;\-* #\ ##0.00\ &quot;₽&quot;_-;_-* \-??\ &quot;₽&quot;_-;_-@_-"/>
    <numFmt numFmtId="177" formatCode="_-* #\ ##0.00_р_._-;\-* #\ ##0.00_р_._-;_-* &quot;-&quot;??_р_._-;_-@_-"/>
    <numFmt numFmtId="178" formatCode="_-* #\ ##0_-;\-* #\ ##0_-;_-* &quot;-&quot;_-;_-@_-"/>
    <numFmt numFmtId="179" formatCode="_-* #\ ##0\ &quot;₽&quot;_-;\-* #\ ##0\ &quot;₽&quot;_-;_-* \-\ &quot;₽&quot;_-;_-@_-"/>
    <numFmt numFmtId="180" formatCode="_-* #\ ##0.000_р_._-;\-* #\ ##0.000_р_._-;_-* &quot;-&quot;??_р_._-;_-@_-"/>
    <numFmt numFmtId="181" formatCode="#\ ##0.00"/>
    <numFmt numFmtId="182" formatCode="0.0"/>
  </numFmts>
  <fonts count="38">
    <font>
      <sz val="11"/>
      <color theme="1"/>
      <name val="Calibri"/>
      <charset val="204"/>
      <scheme val="minor"/>
    </font>
    <font>
      <sz val="8"/>
      <color indexed="8"/>
      <name val="Calibri"/>
      <charset val="204"/>
    </font>
    <font>
      <sz val="10"/>
      <color indexed="8"/>
      <name val="Times New Roman"/>
      <charset val="204"/>
    </font>
    <font>
      <sz val="8"/>
      <color indexed="8"/>
      <name val="Times New Roman"/>
      <charset val="204"/>
    </font>
    <font>
      <sz val="9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8"/>
      <color indexed="8"/>
      <name val="Times New Roman"/>
      <charset val="204"/>
    </font>
    <font>
      <sz val="12"/>
      <color indexed="8"/>
      <name val="Times New Roman"/>
      <charset val="204"/>
    </font>
    <font>
      <sz val="8"/>
      <color theme="1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204"/>
      <scheme val="minor"/>
    </font>
    <font>
      <b/>
      <sz val="11"/>
      <color indexed="8"/>
      <name val="Times New Roman"/>
      <charset val="204"/>
    </font>
    <font>
      <sz val="12"/>
      <color indexed="8"/>
      <name val="Calibri"/>
      <charset val="204"/>
    </font>
    <font>
      <b/>
      <sz val="14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indexed="8"/>
      <name val="Calibri"/>
      <charset val="204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7" fillId="8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6" fillId="18" borderId="2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1" borderId="2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9" borderId="25" applyNumberFormat="0" applyAlignment="0" applyProtection="0">
      <alignment vertical="center"/>
    </xf>
    <xf numFmtId="0" fontId="35" fillId="29" borderId="32" applyNumberFormat="0" applyAlignment="0" applyProtection="0">
      <alignment vertical="center"/>
    </xf>
    <xf numFmtId="0" fontId="37" fillId="18" borderId="25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231">
    <xf numFmtId="0" fontId="0" fillId="0" borderId="0" xfId="0"/>
    <xf numFmtId="0" fontId="0" fillId="0" borderId="1" xfId="0" applyBorder="1"/>
    <xf numFmtId="0" fontId="1" fillId="0" borderId="0" xfId="0" applyFont="1"/>
    <xf numFmtId="177" fontId="0" fillId="0" borderId="0" xfId="7" applyFont="1"/>
    <xf numFmtId="0" fontId="2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77" fontId="2" fillId="2" borderId="3" xfId="7" applyFont="1" applyFill="1" applyBorder="1" applyAlignment="1">
      <alignment horizontal="center" wrapText="1"/>
    </xf>
    <xf numFmtId="177" fontId="4" fillId="2" borderId="4" xfId="7" applyFont="1" applyFill="1" applyBorder="1" applyAlignment="1">
      <alignment horizontal="center" wrapText="1"/>
    </xf>
    <xf numFmtId="177" fontId="0" fillId="0" borderId="1" xfId="7" applyFont="1" applyBorder="1" applyAlignment="1">
      <alignment wrapText="1"/>
    </xf>
    <xf numFmtId="0" fontId="5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left" vertical="top" wrapText="1"/>
    </xf>
    <xf numFmtId="177" fontId="5" fillId="3" borderId="6" xfId="7" applyFont="1" applyFill="1" applyBorder="1" applyAlignment="1">
      <alignment horizontal="right" vertical="top"/>
    </xf>
    <xf numFmtId="177" fontId="5" fillId="3" borderId="7" xfId="7" applyFont="1" applyFill="1" applyBorder="1" applyAlignment="1">
      <alignment horizontal="center" vertical="top"/>
    </xf>
    <xf numFmtId="177" fontId="0" fillId="0" borderId="1" xfId="7" applyFont="1" applyBorder="1"/>
    <xf numFmtId="0" fontId="7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177" fontId="7" fillId="2" borderId="6" xfId="7" applyFont="1" applyFill="1" applyBorder="1" applyAlignment="1">
      <alignment horizontal="right" vertical="top"/>
    </xf>
    <xf numFmtId="177" fontId="7" fillId="4" borderId="7" xfId="7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177" fontId="7" fillId="2" borderId="6" xfId="7" applyFont="1" applyFill="1" applyBorder="1" applyAlignment="1">
      <alignment horizontal="justify" vertical="top"/>
    </xf>
    <xf numFmtId="177" fontId="7" fillId="2" borderId="7" xfId="7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177" fontId="7" fillId="2" borderId="5" xfId="7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/>
    </xf>
    <xf numFmtId="177" fontId="5" fillId="2" borderId="6" xfId="7" applyFont="1" applyFill="1" applyBorder="1" applyAlignment="1">
      <alignment horizontal="right" vertical="top"/>
    </xf>
    <xf numFmtId="177" fontId="5" fillId="2" borderId="7" xfId="7" applyFont="1" applyFill="1" applyBorder="1" applyAlignment="1">
      <alignment horizontal="center" vertical="top"/>
    </xf>
    <xf numFmtId="177" fontId="7" fillId="2" borderId="8" xfId="7" applyFont="1" applyFill="1" applyBorder="1" applyAlignment="1">
      <alignment horizontal="right" vertical="top"/>
    </xf>
    <xf numFmtId="177" fontId="7" fillId="2" borderId="7" xfId="7" applyFont="1" applyFill="1" applyBorder="1" applyAlignment="1">
      <alignment horizontal="right" vertical="top"/>
    </xf>
    <xf numFmtId="177" fontId="7" fillId="2" borderId="1" xfId="7" applyFont="1" applyFill="1" applyBorder="1" applyAlignment="1">
      <alignment horizontal="right" vertical="top"/>
    </xf>
    <xf numFmtId="0" fontId="7" fillId="2" borderId="1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177" fontId="7" fillId="2" borderId="11" xfId="7" applyFont="1" applyFill="1" applyBorder="1" applyAlignment="1">
      <alignment horizontal="right" vertical="top"/>
    </xf>
    <xf numFmtId="177" fontId="7" fillId="2" borderId="12" xfId="7" applyFont="1" applyFill="1" applyBorder="1" applyAlignment="1">
      <alignment horizontal="right" vertical="top"/>
    </xf>
    <xf numFmtId="177" fontId="0" fillId="0" borderId="10" xfId="7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Border="1"/>
    <xf numFmtId="177" fontId="10" fillId="0" borderId="1" xfId="7" applyFont="1" applyBorder="1"/>
    <xf numFmtId="0" fontId="0" fillId="0" borderId="0" xfId="0" applyBorder="1"/>
    <xf numFmtId="0" fontId="7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177" fontId="7" fillId="2" borderId="13" xfId="7" applyFont="1" applyFill="1" applyBorder="1" applyAlignment="1">
      <alignment horizontal="right" vertical="top"/>
    </xf>
    <xf numFmtId="177" fontId="0" fillId="0" borderId="13" xfId="7" applyFont="1" applyBorder="1"/>
    <xf numFmtId="0" fontId="7" fillId="2" borderId="14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177" fontId="7" fillId="2" borderId="14" xfId="7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left" vertical="top" wrapText="1"/>
    </xf>
    <xf numFmtId="177" fontId="5" fillId="2" borderId="8" xfId="7" applyFont="1" applyFill="1" applyBorder="1" applyAlignment="1">
      <alignment horizontal="right" vertical="top"/>
    </xf>
    <xf numFmtId="177" fontId="5" fillId="2" borderId="12" xfId="7" applyFont="1" applyFill="1" applyBorder="1" applyAlignment="1">
      <alignment horizontal="right" vertical="top"/>
    </xf>
    <xf numFmtId="177" fontId="5" fillId="2" borderId="5" xfId="7" applyFont="1" applyFill="1" applyBorder="1" applyAlignment="1">
      <alignment horizontal="right" vertical="top"/>
    </xf>
    <xf numFmtId="0" fontId="7" fillId="2" borderId="1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justify" vertical="top" wrapText="1"/>
    </xf>
    <xf numFmtId="177" fontId="7" fillId="2" borderId="16" xfId="7" applyFont="1" applyFill="1" applyBorder="1" applyAlignment="1">
      <alignment horizontal="right" vertical="top"/>
    </xf>
    <xf numFmtId="0" fontId="0" fillId="3" borderId="0" xfId="0" applyFill="1"/>
    <xf numFmtId="0" fontId="0" fillId="0" borderId="0" xfId="0" applyFill="1"/>
    <xf numFmtId="0" fontId="11" fillId="0" borderId="0" xfId="0" applyFont="1"/>
    <xf numFmtId="0" fontId="0" fillId="0" borderId="0" xfId="0" applyFont="1" applyFill="1"/>
    <xf numFmtId="0" fontId="0" fillId="4" borderId="0" xfId="0" applyFont="1" applyFill="1"/>
    <xf numFmtId="177" fontId="0" fillId="0" borderId="0" xfId="7" applyNumberFormat="1" applyFont="1"/>
    <xf numFmtId="0" fontId="2" fillId="2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177" fontId="2" fillId="0" borderId="16" xfId="7" applyNumberFormat="1" applyFont="1" applyBorder="1" applyAlignment="1">
      <alignment horizontal="center" wrapText="1"/>
    </xf>
    <xf numFmtId="177" fontId="2" fillId="0" borderId="16" xfId="7" applyFont="1" applyBorder="1" applyAlignment="1">
      <alignment horizontal="center" wrapText="1"/>
    </xf>
    <xf numFmtId="177" fontId="4" fillId="0" borderId="17" xfId="7" applyFont="1" applyBorder="1" applyAlignment="1">
      <alignment horizontal="justify" wrapText="1"/>
    </xf>
    <xf numFmtId="0" fontId="0" fillId="0" borderId="1" xfId="0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77" fontId="2" fillId="0" borderId="5" xfId="7" applyNumberFormat="1" applyFont="1" applyBorder="1" applyAlignment="1">
      <alignment horizontal="center" wrapText="1"/>
    </xf>
    <xf numFmtId="177" fontId="2" fillId="0" borderId="5" xfId="7" applyFont="1" applyBorder="1" applyAlignment="1">
      <alignment horizontal="center" wrapText="1"/>
    </xf>
    <xf numFmtId="177" fontId="4" fillId="0" borderId="7" xfId="7" applyFont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177" fontId="5" fillId="3" borderId="6" xfId="7" applyNumberFormat="1" applyFont="1" applyFill="1" applyBorder="1" applyAlignment="1">
      <alignment horizontal="center" wrapText="1"/>
    </xf>
    <xf numFmtId="177" fontId="5" fillId="3" borderId="6" xfId="7" applyFont="1" applyFill="1" applyBorder="1" applyAlignment="1">
      <alignment horizontal="center" wrapText="1"/>
    </xf>
    <xf numFmtId="177" fontId="5" fillId="3" borderId="7" xfId="7" applyFont="1" applyFill="1" applyBorder="1" applyAlignment="1">
      <alignment horizontal="right"/>
    </xf>
    <xf numFmtId="2" fontId="0" fillId="3" borderId="1" xfId="0" applyNumberForma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left" vertical="top" wrapText="1"/>
    </xf>
    <xf numFmtId="177" fontId="5" fillId="0" borderId="6" xfId="7" applyNumberFormat="1" applyFont="1" applyFill="1" applyBorder="1" applyAlignment="1">
      <alignment horizontal="right"/>
    </xf>
    <xf numFmtId="177" fontId="5" fillId="0" borderId="6" xfId="7" applyFont="1" applyFill="1" applyBorder="1" applyAlignment="1">
      <alignment horizontal="right"/>
    </xf>
    <xf numFmtId="177" fontId="5" fillId="0" borderId="7" xfId="7" applyFont="1" applyFill="1" applyBorder="1" applyAlignment="1">
      <alignment horizontal="right"/>
    </xf>
    <xf numFmtId="2" fontId="0" fillId="0" borderId="1" xfId="0" applyNumberFormat="1" applyFill="1" applyBorder="1" applyAlignment="1">
      <alignment wrapText="1"/>
    </xf>
    <xf numFmtId="180" fontId="5" fillId="0" borderId="6" xfId="7" applyNumberFormat="1" applyFont="1" applyFill="1" applyBorder="1" applyAlignment="1">
      <alignment horizontal="right"/>
    </xf>
    <xf numFmtId="2" fontId="12" fillId="0" borderId="1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left" vertical="top" wrapText="1"/>
    </xf>
    <xf numFmtId="177" fontId="5" fillId="0" borderId="8" xfId="7" applyNumberFormat="1" applyFont="1" applyFill="1" applyBorder="1" applyAlignment="1">
      <alignment horizontal="right"/>
    </xf>
    <xf numFmtId="177" fontId="5" fillId="0" borderId="8" xfId="7" applyFont="1" applyFill="1" applyBorder="1" applyAlignment="1">
      <alignment horizontal="right"/>
    </xf>
    <xf numFmtId="177" fontId="5" fillId="0" borderId="0" xfId="7" applyFont="1" applyFill="1" applyBorder="1" applyAlignment="1">
      <alignment horizontal="right"/>
    </xf>
    <xf numFmtId="2" fontId="12" fillId="0" borderId="10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top" wrapText="1"/>
    </xf>
    <xf numFmtId="177" fontId="5" fillId="0" borderId="1" xfId="7" applyNumberFormat="1" applyFont="1" applyFill="1" applyBorder="1" applyAlignment="1">
      <alignment horizontal="right"/>
    </xf>
    <xf numFmtId="177" fontId="5" fillId="0" borderId="1" xfId="7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left" vertical="top" wrapText="1"/>
    </xf>
    <xf numFmtId="177" fontId="5" fillId="0" borderId="13" xfId="7" applyNumberFormat="1" applyFont="1" applyFill="1" applyBorder="1" applyAlignment="1">
      <alignment horizontal="right"/>
    </xf>
    <xf numFmtId="177" fontId="5" fillId="0" borderId="13" xfId="7" applyFont="1" applyFill="1" applyBorder="1" applyAlignment="1">
      <alignment horizontal="right"/>
    </xf>
    <xf numFmtId="2" fontId="0" fillId="0" borderId="13" xfId="0" applyNumberForma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77" fontId="5" fillId="0" borderId="1" xfId="7" applyNumberFormat="1" applyFont="1" applyFill="1" applyBorder="1" applyAlignment="1"/>
    <xf numFmtId="177" fontId="5" fillId="0" borderId="1" xfId="7" applyFont="1" applyFill="1" applyBorder="1" applyAlignment="1"/>
    <xf numFmtId="0" fontId="3" fillId="0" borderId="5" xfId="0" applyFont="1" applyFill="1" applyBorder="1" applyAlignment="1">
      <alignment wrapText="1"/>
    </xf>
    <xf numFmtId="177" fontId="5" fillId="0" borderId="5" xfId="7" applyNumberFormat="1" applyFont="1" applyFill="1" applyBorder="1" applyAlignment="1"/>
    <xf numFmtId="177" fontId="5" fillId="0" borderId="5" xfId="7" applyFont="1" applyFill="1" applyBorder="1" applyAlignment="1"/>
    <xf numFmtId="2" fontId="0" fillId="0" borderId="18" xfId="0" applyNumberFormat="1" applyFill="1" applyBorder="1" applyAlignment="1">
      <alignment wrapText="1"/>
    </xf>
    <xf numFmtId="0" fontId="3" fillId="0" borderId="6" xfId="0" applyFont="1" applyFill="1" applyBorder="1" applyAlignment="1">
      <alignment horizontal="left" vertical="top" wrapText="1"/>
    </xf>
    <xf numFmtId="177" fontId="7" fillId="0" borderId="6" xfId="7" applyNumberFormat="1" applyFont="1" applyFill="1" applyBorder="1" applyAlignment="1">
      <alignment horizontal="right"/>
    </xf>
    <xf numFmtId="177" fontId="7" fillId="0" borderId="6" xfId="7" applyFont="1" applyFill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top" wrapText="1"/>
    </xf>
    <xf numFmtId="177" fontId="7" fillId="0" borderId="6" xfId="7" applyNumberFormat="1" applyFont="1" applyBorder="1" applyAlignment="1">
      <alignment horizontal="right"/>
    </xf>
    <xf numFmtId="177" fontId="7" fillId="0" borderId="6" xfId="7" applyFont="1" applyBorder="1" applyAlignment="1">
      <alignment horizontal="right"/>
    </xf>
    <xf numFmtId="0" fontId="3" fillId="0" borderId="16" xfId="0" applyFont="1" applyBorder="1" applyAlignment="1">
      <alignment horizontal="center" wrapText="1"/>
    </xf>
    <xf numFmtId="0" fontId="6" fillId="0" borderId="8" xfId="0" applyFont="1" applyBorder="1" applyAlignment="1">
      <alignment horizontal="left" vertical="top" wrapText="1"/>
    </xf>
    <xf numFmtId="177" fontId="5" fillId="0" borderId="16" xfId="7" applyNumberFormat="1" applyFont="1" applyBorder="1" applyAlignment="1">
      <alignment horizontal="right"/>
    </xf>
    <xf numFmtId="177" fontId="5" fillId="0" borderId="16" xfId="7" applyFont="1" applyBorder="1" applyAlignment="1">
      <alignment horizontal="right"/>
    </xf>
    <xf numFmtId="0" fontId="6" fillId="0" borderId="6" xfId="0" applyFont="1" applyBorder="1" applyAlignment="1">
      <alignment horizontal="left" vertical="top" wrapText="1"/>
    </xf>
    <xf numFmtId="177" fontId="5" fillId="0" borderId="5" xfId="7" applyNumberFormat="1" applyFont="1" applyBorder="1" applyAlignment="1">
      <alignment horizontal="right"/>
    </xf>
    <xf numFmtId="177" fontId="5" fillId="0" borderId="5" xfId="7" applyFont="1" applyBorder="1" applyAlignment="1">
      <alignment horizontal="right"/>
    </xf>
    <xf numFmtId="177" fontId="7" fillId="0" borderId="0" xfId="7" applyFont="1" applyFill="1" applyAlignment="1">
      <alignment horizontal="right"/>
    </xf>
    <xf numFmtId="177" fontId="7" fillId="0" borderId="3" xfId="7" applyFont="1" applyFill="1" applyBorder="1" applyAlignment="1">
      <alignment horizontal="right"/>
    </xf>
    <xf numFmtId="0" fontId="6" fillId="0" borderId="6" xfId="0" applyFont="1" applyBorder="1" applyAlignment="1">
      <alignment horizontal="left" wrapText="1"/>
    </xf>
    <xf numFmtId="177" fontId="5" fillId="0" borderId="6" xfId="7" applyNumberFormat="1" applyFont="1" applyBorder="1" applyAlignment="1">
      <alignment horizontal="right"/>
    </xf>
    <xf numFmtId="177" fontId="5" fillId="0" borderId="6" xfId="7" applyFont="1" applyBorder="1" applyAlignment="1">
      <alignment horizontal="right"/>
    </xf>
    <xf numFmtId="177" fontId="5" fillId="0" borderId="7" xfId="7" applyFont="1" applyBorder="1" applyAlignment="1">
      <alignment horizontal="right"/>
    </xf>
    <xf numFmtId="2" fontId="0" fillId="0" borderId="1" xfId="0" applyNumberFormat="1" applyBorder="1" applyAlignment="1">
      <alignment wrapText="1"/>
    </xf>
    <xf numFmtId="0" fontId="13" fillId="2" borderId="19" xfId="0" applyFont="1" applyFill="1" applyBorder="1" applyAlignment="1">
      <alignment horizontal="center" vertical="top" wrapText="1"/>
    </xf>
    <xf numFmtId="0" fontId="13" fillId="2" borderId="20" xfId="0" applyFont="1" applyFill="1" applyBorder="1" applyAlignment="1">
      <alignment horizontal="center" vertical="top" wrapText="1"/>
    </xf>
    <xf numFmtId="177" fontId="5" fillId="2" borderId="6" xfId="7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center" wrapText="1"/>
    </xf>
    <xf numFmtId="177" fontId="5" fillId="2" borderId="6" xfId="7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177" fontId="7" fillId="0" borderId="6" xfId="7" applyNumberFormat="1" applyFont="1" applyFill="1" applyBorder="1" applyAlignment="1">
      <alignment horizontal="center"/>
    </xf>
    <xf numFmtId="177" fontId="7" fillId="0" borderId="7" xfId="7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wrapText="1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top" wrapText="1"/>
    </xf>
    <xf numFmtId="181" fontId="10" fillId="0" borderId="3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justify" vertical="top" wrapText="1"/>
    </xf>
    <xf numFmtId="181" fontId="10" fillId="0" borderId="6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wrapText="1"/>
    </xf>
    <xf numFmtId="181" fontId="10" fillId="0" borderId="6" xfId="0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left" wrapText="1"/>
    </xf>
    <xf numFmtId="177" fontId="7" fillId="4" borderId="6" xfId="7" applyNumberFormat="1" applyFont="1" applyFill="1" applyBorder="1" applyAlignment="1">
      <alignment horizontal="right"/>
    </xf>
    <xf numFmtId="177" fontId="7" fillId="4" borderId="7" xfId="7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wrapText="1"/>
    </xf>
    <xf numFmtId="177" fontId="5" fillId="4" borderId="7" xfId="7" applyFont="1" applyFill="1" applyBorder="1" applyAlignment="1">
      <alignment horizontal="center" vertical="top"/>
    </xf>
    <xf numFmtId="2" fontId="0" fillId="0" borderId="21" xfId="0" applyNumberFormat="1" applyBorder="1" applyAlignment="1">
      <alignment wrapText="1"/>
    </xf>
    <xf numFmtId="177" fontId="5" fillId="0" borderId="12" xfId="7" applyFont="1" applyBorder="1" applyAlignment="1">
      <alignment horizontal="right"/>
    </xf>
    <xf numFmtId="0" fontId="0" fillId="0" borderId="18" xfId="0" applyBorder="1" applyAlignment="1">
      <alignment wrapText="1"/>
    </xf>
    <xf numFmtId="177" fontId="5" fillId="0" borderId="1" xfId="7" applyFont="1" applyBorder="1" applyAlignment="1">
      <alignment horizontal="right"/>
    </xf>
    <xf numFmtId="2" fontId="12" fillId="0" borderId="1" xfId="0" applyNumberFormat="1" applyFont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0" fontId="3" fillId="2" borderId="22" xfId="0" applyFont="1" applyFill="1" applyBorder="1" applyAlignment="1">
      <alignment horizontal="left" vertical="top" wrapText="1"/>
    </xf>
    <xf numFmtId="177" fontId="7" fillId="2" borderId="17" xfId="7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top" wrapText="1"/>
    </xf>
    <xf numFmtId="177" fontId="7" fillId="2" borderId="23" xfId="7" applyFont="1" applyFill="1" applyBorder="1" applyAlignment="1">
      <alignment horizontal="right" vertical="top"/>
    </xf>
    <xf numFmtId="177" fontId="7" fillId="2" borderId="2" xfId="7" applyFont="1" applyFill="1" applyBorder="1" applyAlignment="1">
      <alignment horizontal="right" vertical="top"/>
    </xf>
    <xf numFmtId="0" fontId="0" fillId="0" borderId="0" xfId="0" applyFont="1"/>
    <xf numFmtId="0" fontId="0" fillId="4" borderId="0" xfId="0" applyFill="1"/>
    <xf numFmtId="0" fontId="6" fillId="2" borderId="6" xfId="0" applyFont="1" applyFill="1" applyBorder="1" applyAlignment="1">
      <alignment horizontal="center" wrapText="1"/>
    </xf>
    <xf numFmtId="177" fontId="5" fillId="0" borderId="6" xfId="7" applyNumberFormat="1" applyFont="1" applyBorder="1" applyAlignment="1">
      <alignment horizontal="center" wrapText="1"/>
    </xf>
    <xf numFmtId="177" fontId="5" fillId="0" borderId="6" xfId="7" applyFont="1" applyBorder="1" applyAlignment="1">
      <alignment horizontal="center" wrapText="1"/>
    </xf>
    <xf numFmtId="2" fontId="0" fillId="0" borderId="21" xfId="0" applyNumberFormat="1" applyBorder="1" applyAlignment="1">
      <alignment horizontal="right" wrapText="1"/>
    </xf>
    <xf numFmtId="2" fontId="0" fillId="0" borderId="18" xfId="0" applyNumberFormat="1" applyBorder="1" applyAlignment="1">
      <alignment horizontal="right" wrapText="1"/>
    </xf>
    <xf numFmtId="177" fontId="5" fillId="2" borderId="6" xfId="7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177" fontId="7" fillId="2" borderId="6" xfId="7" applyNumberFormat="1" applyFont="1" applyFill="1" applyBorder="1" applyAlignment="1">
      <alignment horizontal="right"/>
    </xf>
    <xf numFmtId="177" fontId="7" fillId="0" borderId="7" xfId="7" applyFont="1" applyBorder="1" applyAlignment="1">
      <alignment horizontal="right"/>
    </xf>
    <xf numFmtId="2" fontId="0" fillId="0" borderId="1" xfId="0" applyNumberFormat="1" applyFont="1" applyBorder="1" applyAlignment="1">
      <alignment wrapText="1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justify" vertical="top" wrapText="1"/>
    </xf>
    <xf numFmtId="181" fontId="10" fillId="4" borderId="3" xfId="0" applyNumberFormat="1" applyFont="1" applyFill="1" applyBorder="1" applyAlignment="1">
      <alignment horizontal="right"/>
    </xf>
    <xf numFmtId="2" fontId="11" fillId="4" borderId="1" xfId="0" applyNumberFormat="1" applyFont="1" applyFill="1" applyBorder="1" applyAlignment="1">
      <alignment wrapText="1"/>
    </xf>
    <xf numFmtId="0" fontId="8" fillId="4" borderId="5" xfId="0" applyFont="1" applyFill="1" applyBorder="1" applyAlignment="1">
      <alignment horizontal="center" vertical="top"/>
    </xf>
    <xf numFmtId="0" fontId="8" fillId="4" borderId="6" xfId="0" applyFont="1" applyFill="1" applyBorder="1" applyAlignment="1">
      <alignment horizontal="justify" vertical="top" wrapText="1"/>
    </xf>
    <xf numFmtId="181" fontId="10" fillId="4" borderId="6" xfId="0" applyNumberFormat="1" applyFont="1" applyFill="1" applyBorder="1" applyAlignment="1">
      <alignment horizontal="right"/>
    </xf>
    <xf numFmtId="177" fontId="5" fillId="4" borderId="7" xfId="7" applyFont="1" applyFill="1" applyBorder="1" applyAlignment="1">
      <alignment horizontal="right"/>
    </xf>
    <xf numFmtId="0" fontId="3" fillId="4" borderId="6" xfId="0" applyFont="1" applyFill="1" applyBorder="1" applyAlignment="1">
      <alignment horizontal="left" vertical="top" wrapText="1"/>
    </xf>
    <xf numFmtId="2" fontId="0" fillId="4" borderId="1" xfId="0" applyNumberFormat="1" applyFill="1" applyBorder="1" applyAlignment="1">
      <alignment wrapText="1"/>
    </xf>
    <xf numFmtId="0" fontId="8" fillId="0" borderId="0" xfId="0" applyFont="1" applyAlignment="1">
      <alignment wrapText="1"/>
    </xf>
    <xf numFmtId="177" fontId="5" fillId="2" borderId="7" xfId="7" applyFont="1" applyFill="1" applyBorder="1" applyAlignment="1">
      <alignment horizontal="right" vertical="top"/>
    </xf>
    <xf numFmtId="177" fontId="7" fillId="2" borderId="9" xfId="7" applyFont="1" applyFill="1" applyBorder="1" applyAlignment="1">
      <alignment horizontal="right" vertical="top"/>
    </xf>
    <xf numFmtId="0" fontId="7" fillId="2" borderId="15" xfId="0" applyFont="1" applyFill="1" applyBorder="1" applyAlignment="1">
      <alignment horizontal="center" vertical="top" wrapText="1"/>
    </xf>
    <xf numFmtId="177" fontId="7" fillId="2" borderId="0" xfId="7" applyFont="1" applyFill="1" applyBorder="1" applyAlignment="1">
      <alignment horizontal="right" vertical="top"/>
    </xf>
    <xf numFmtId="177" fontId="7" fillId="2" borderId="15" xfId="7" applyFont="1" applyFill="1" applyBorder="1" applyAlignment="1">
      <alignment horizontal="right" vertical="top"/>
    </xf>
    <xf numFmtId="0" fontId="5" fillId="2" borderId="2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177" fontId="5" fillId="2" borderId="22" xfId="7" applyFont="1" applyFill="1" applyBorder="1" applyAlignment="1">
      <alignment horizontal="right" vertical="top"/>
    </xf>
    <xf numFmtId="177" fontId="5" fillId="2" borderId="16" xfId="7" applyFont="1" applyFill="1" applyBorder="1" applyAlignment="1">
      <alignment horizontal="right" vertical="top"/>
    </xf>
    <xf numFmtId="0" fontId="3" fillId="0" borderId="6" xfId="0" applyFont="1" applyBorder="1" applyAlignment="1">
      <alignment horizontal="left" wrapText="1"/>
    </xf>
    <xf numFmtId="177" fontId="7" fillId="2" borderId="6" xfId="7" applyFont="1" applyFill="1" applyBorder="1" applyAlignment="1">
      <alignment horizontal="right"/>
    </xf>
    <xf numFmtId="177" fontId="5" fillId="2" borderId="9" xfId="7" applyFont="1" applyFill="1" applyBorder="1" applyAlignment="1">
      <alignment horizontal="right" vertical="top"/>
    </xf>
    <xf numFmtId="0" fontId="5" fillId="2" borderId="16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left" vertical="top" wrapText="1"/>
    </xf>
    <xf numFmtId="177" fontId="5" fillId="0" borderId="24" xfId="7" applyFont="1" applyBorder="1" applyAlignment="1">
      <alignment horizontal="right"/>
    </xf>
    <xf numFmtId="177" fontId="5" fillId="0" borderId="9" xfId="7" applyFont="1" applyBorder="1" applyAlignment="1">
      <alignment horizontal="right"/>
    </xf>
    <xf numFmtId="177" fontId="7" fillId="5" borderId="0" xfId="7" applyFont="1" applyFill="1" applyAlignment="1">
      <alignment horizontal="right"/>
    </xf>
    <xf numFmtId="177" fontId="7" fillId="0" borderId="9" xfId="7" applyFont="1" applyBorder="1" applyAlignment="1">
      <alignment horizontal="right"/>
    </xf>
    <xf numFmtId="177" fontId="7" fillId="5" borderId="3" xfId="7" applyFont="1" applyFill="1" applyBorder="1" applyAlignment="1">
      <alignment horizontal="right"/>
    </xf>
    <xf numFmtId="177" fontId="7" fillId="5" borderId="6" xfId="7" applyFont="1" applyFill="1" applyBorder="1" applyAlignment="1">
      <alignment horizontal="right"/>
    </xf>
    <xf numFmtId="177" fontId="5" fillId="2" borderId="7" xfId="7" applyFont="1" applyFill="1" applyBorder="1" applyAlignment="1">
      <alignment horizontal="right"/>
    </xf>
    <xf numFmtId="177" fontId="7" fillId="2" borderId="7" xfId="7" applyFont="1" applyFill="1" applyBorder="1" applyAlignment="1">
      <alignment horizontal="right"/>
    </xf>
    <xf numFmtId="0" fontId="14" fillId="0" borderId="0" xfId="0" applyFont="1" applyAlignment="1">
      <alignment wrapText="1"/>
    </xf>
    <xf numFmtId="49" fontId="0" fillId="0" borderId="0" xfId="0" applyNumberFormat="1" applyAlignment="1">
      <alignment horizontal="center"/>
    </xf>
    <xf numFmtId="0" fontId="1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9" fontId="16" fillId="0" borderId="1" xfId="0" applyNumberFormat="1" applyFont="1" applyBorder="1" applyAlignment="1">
      <alignment horizontal="center"/>
    </xf>
    <xf numFmtId="182" fontId="16" fillId="0" borderId="1" xfId="0" applyNumberFormat="1" applyFont="1" applyBorder="1"/>
    <xf numFmtId="181" fontId="16" fillId="0" borderId="1" xfId="0" applyNumberFormat="1" applyFont="1" applyBorder="1"/>
    <xf numFmtId="0" fontId="16" fillId="0" borderId="1" xfId="0" applyFont="1" applyBorder="1"/>
    <xf numFmtId="0" fontId="7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/>
    </xf>
    <xf numFmtId="182" fontId="13" fillId="0" borderId="1" xfId="0" applyNumberFormat="1" applyFont="1" applyBorder="1"/>
    <xf numFmtId="181" fontId="13" fillId="0" borderId="1" xfId="0" applyNumberFormat="1" applyFont="1" applyBorder="1"/>
    <xf numFmtId="0" fontId="7" fillId="0" borderId="0" xfId="0" applyFont="1" applyAlignment="1">
      <alignment horizontal="left" vertical="top" wrapText="1"/>
    </xf>
    <xf numFmtId="0" fontId="16" fillId="0" borderId="0" xfId="0" applyFont="1"/>
    <xf numFmtId="0" fontId="16" fillId="0" borderId="0" xfId="0" applyFont="1" applyAlignment="1">
      <alignment horizontal="center" vertical="top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32"/>
  <sheetViews>
    <sheetView workbookViewId="0">
      <selection activeCell="G5" sqref="G5"/>
    </sheetView>
  </sheetViews>
  <sheetFormatPr defaultColWidth="9" defaultRowHeight="15.75" outlineLevelCol="7"/>
  <cols>
    <col min="1" max="1" width="60.7142857142857" style="212" customWidth="1"/>
    <col min="2" max="2" width="9.28571428571429" style="213" customWidth="1"/>
    <col min="3" max="3" width="18.8571428571429" hidden="1" customWidth="1"/>
    <col min="4" max="4" width="14.5714285714286" customWidth="1"/>
    <col min="5" max="6" width="15.2857142857143" customWidth="1"/>
    <col min="7" max="7" width="12.7142857142857" customWidth="1"/>
    <col min="8" max="8" width="13.2857142857143" hidden="1" customWidth="1"/>
  </cols>
  <sheetData>
    <row r="2" ht="18.75" spans="1:8">
      <c r="A2" s="214" t="s">
        <v>0</v>
      </c>
      <c r="B2" s="214"/>
      <c r="C2" s="214"/>
      <c r="D2" s="214"/>
      <c r="E2" s="214"/>
      <c r="F2" s="214"/>
      <c r="G2" s="214"/>
      <c r="H2" s="214"/>
    </row>
    <row r="4" ht="42.75" spans="1:8">
      <c r="A4" s="215" t="s">
        <v>1</v>
      </c>
      <c r="B4" s="216"/>
      <c r="C4" s="217" t="s">
        <v>2</v>
      </c>
      <c r="D4" s="217" t="s">
        <v>3</v>
      </c>
      <c r="E4" s="217" t="s">
        <v>4</v>
      </c>
      <c r="F4" s="217" t="s">
        <v>5</v>
      </c>
      <c r="G4" s="217" t="s">
        <v>6</v>
      </c>
      <c r="H4" s="217" t="s">
        <v>7</v>
      </c>
    </row>
    <row r="5" ht="30" customHeight="1" spans="1:8">
      <c r="A5" s="218" t="s">
        <v>8</v>
      </c>
      <c r="B5" s="219" t="s">
        <v>9</v>
      </c>
      <c r="C5" s="220"/>
      <c r="D5" s="221">
        <v>140700</v>
      </c>
      <c r="E5" s="221">
        <v>135337.38</v>
      </c>
      <c r="F5" s="221">
        <f>D5-E5</f>
        <v>5362.62</v>
      </c>
      <c r="G5" s="220">
        <f t="shared" ref="G5:G30" si="0">E5/D5*100</f>
        <v>96.1886140724947</v>
      </c>
      <c r="H5" s="220" t="e">
        <f>D5/C5*100</f>
        <v>#DIV/0!</v>
      </c>
    </row>
    <row r="6" ht="47.25" customHeight="1" spans="1:8">
      <c r="A6" s="218" t="s">
        <v>10</v>
      </c>
      <c r="B6" s="219" t="s">
        <v>11</v>
      </c>
      <c r="C6" s="220"/>
      <c r="D6" s="221">
        <v>962500</v>
      </c>
      <c r="E6" s="221">
        <f>614553.87+151824.19+19994.62+43619.39+4048.8+61932.73+25411.1</f>
        <v>921384.7</v>
      </c>
      <c r="F6" s="221">
        <f t="shared" ref="F6:F30" si="1">D6-E6</f>
        <v>41115.2999999999</v>
      </c>
      <c r="G6" s="220">
        <f t="shared" si="0"/>
        <v>95.7282805194805</v>
      </c>
      <c r="H6" s="220" t="e">
        <f t="shared" ref="H6:H30" si="2">D6/C6*100</f>
        <v>#DIV/0!</v>
      </c>
    </row>
    <row r="7" spans="1:8">
      <c r="A7" s="218" t="s">
        <v>12</v>
      </c>
      <c r="B7" s="219" t="s">
        <v>13</v>
      </c>
      <c r="C7" s="220"/>
      <c r="D7" s="221">
        <v>0</v>
      </c>
      <c r="E7" s="221">
        <v>0</v>
      </c>
      <c r="F7" s="221">
        <f t="shared" si="1"/>
        <v>0</v>
      </c>
      <c r="G7" s="222">
        <v>0</v>
      </c>
      <c r="H7" s="220" t="e">
        <f t="shared" si="2"/>
        <v>#DIV/0!</v>
      </c>
    </row>
    <row r="8" ht="18" customHeight="1" spans="1:8">
      <c r="A8" s="218" t="s">
        <v>14</v>
      </c>
      <c r="B8" s="219" t="s">
        <v>15</v>
      </c>
      <c r="C8" s="220"/>
      <c r="D8" s="221">
        <f>D9+D10</f>
        <v>982700</v>
      </c>
      <c r="E8" s="221">
        <f>E9+E10</f>
        <v>818451.93</v>
      </c>
      <c r="F8" s="221">
        <f t="shared" si="1"/>
        <v>164248.07</v>
      </c>
      <c r="G8" s="220">
        <f t="shared" si="0"/>
        <v>83.286041518266</v>
      </c>
      <c r="H8" s="220" t="e">
        <f t="shared" si="2"/>
        <v>#DIV/0!</v>
      </c>
    </row>
    <row r="9" spans="1:8">
      <c r="A9" s="223" t="s">
        <v>16</v>
      </c>
      <c r="B9" s="219" t="s">
        <v>15</v>
      </c>
      <c r="C9" s="220"/>
      <c r="D9" s="221">
        <v>254700</v>
      </c>
      <c r="E9" s="221">
        <f>129498.85+23604.52+3850+66489.19+438.12</f>
        <v>223880.68</v>
      </c>
      <c r="F9" s="221">
        <f t="shared" si="1"/>
        <v>30819.32</v>
      </c>
      <c r="G9" s="220">
        <f t="shared" si="0"/>
        <v>87.8997565763644</v>
      </c>
      <c r="H9" s="220" t="e">
        <f t="shared" si="2"/>
        <v>#DIV/0!</v>
      </c>
    </row>
    <row r="10" spans="1:8">
      <c r="A10" s="223" t="s">
        <v>17</v>
      </c>
      <c r="B10" s="219" t="s">
        <v>15</v>
      </c>
      <c r="C10" s="220"/>
      <c r="D10" s="221">
        <v>728000</v>
      </c>
      <c r="E10" s="221">
        <f>318171.79+73113.06+26649.1+5132+8794.62+8322.16+40000+114388.52</f>
        <v>594571.25</v>
      </c>
      <c r="F10" s="221">
        <f t="shared" si="1"/>
        <v>133428.75</v>
      </c>
      <c r="G10" s="220">
        <f t="shared" si="0"/>
        <v>81.671875</v>
      </c>
      <c r="H10" s="220" t="e">
        <f t="shared" si="2"/>
        <v>#DIV/0!</v>
      </c>
    </row>
    <row r="11" ht="43.5" customHeight="1" spans="1:8">
      <c r="A11" s="218" t="s">
        <v>18</v>
      </c>
      <c r="B11" s="219" t="s">
        <v>15</v>
      </c>
      <c r="C11" s="220"/>
      <c r="D11" s="221">
        <v>50000</v>
      </c>
      <c r="E11" s="221">
        <v>0</v>
      </c>
      <c r="F11" s="221">
        <f t="shared" si="1"/>
        <v>50000</v>
      </c>
      <c r="G11" s="220">
        <f t="shared" si="0"/>
        <v>0</v>
      </c>
      <c r="H11" s="220" t="e">
        <f t="shared" si="2"/>
        <v>#DIV/0!</v>
      </c>
    </row>
    <row r="12" ht="30" customHeight="1" spans="1:8">
      <c r="A12" s="218" t="s">
        <v>19</v>
      </c>
      <c r="B12" s="219" t="s">
        <v>15</v>
      </c>
      <c r="C12" s="220"/>
      <c r="D12" s="221">
        <v>115400</v>
      </c>
      <c r="E12" s="221">
        <v>115400</v>
      </c>
      <c r="F12" s="221">
        <f t="shared" si="1"/>
        <v>0</v>
      </c>
      <c r="G12" s="220">
        <f t="shared" si="0"/>
        <v>100</v>
      </c>
      <c r="H12" s="220" t="e">
        <f t="shared" si="2"/>
        <v>#DIV/0!</v>
      </c>
    </row>
    <row r="13" ht="30" customHeight="1" spans="1:8">
      <c r="A13" s="218" t="s">
        <v>20</v>
      </c>
      <c r="B13" s="219" t="s">
        <v>15</v>
      </c>
      <c r="C13" s="220"/>
      <c r="D13" s="221">
        <v>20000</v>
      </c>
      <c r="E13" s="221">
        <v>15000</v>
      </c>
      <c r="F13" s="221">
        <f t="shared" si="1"/>
        <v>5000</v>
      </c>
      <c r="G13" s="220">
        <f t="shared" si="0"/>
        <v>75</v>
      </c>
      <c r="H13" s="220" t="e">
        <f t="shared" si="2"/>
        <v>#DIV/0!</v>
      </c>
    </row>
    <row r="14" customHeight="1" spans="1:8">
      <c r="A14" s="218" t="s">
        <v>21</v>
      </c>
      <c r="B14" s="219" t="s">
        <v>22</v>
      </c>
      <c r="C14" s="220"/>
      <c r="D14" s="221">
        <v>67030</v>
      </c>
      <c r="E14" s="221">
        <f>52307.4+13681.95+53.31</f>
        <v>66042.66</v>
      </c>
      <c r="F14" s="221">
        <f t="shared" si="1"/>
        <v>987.339999999997</v>
      </c>
      <c r="G14" s="220">
        <f t="shared" si="0"/>
        <v>98.5270177532448</v>
      </c>
      <c r="H14" s="220" t="e">
        <f t="shared" si="2"/>
        <v>#DIV/0!</v>
      </c>
    </row>
    <row r="15" ht="30.75" customHeight="1" spans="1:8">
      <c r="A15" s="218" t="s">
        <v>23</v>
      </c>
      <c r="B15" s="219" t="s">
        <v>24</v>
      </c>
      <c r="C15" s="220"/>
      <c r="D15" s="221">
        <v>70000</v>
      </c>
      <c r="E15" s="221">
        <v>69685</v>
      </c>
      <c r="F15" s="221">
        <f t="shared" si="1"/>
        <v>315</v>
      </c>
      <c r="G15" s="220">
        <f t="shared" si="0"/>
        <v>99.55</v>
      </c>
      <c r="H15" s="220" t="e">
        <f t="shared" si="2"/>
        <v>#DIV/0!</v>
      </c>
    </row>
    <row r="16" ht="16.5" customHeight="1" spans="1:8">
      <c r="A16" s="218" t="s">
        <v>25</v>
      </c>
      <c r="B16" s="219" t="s">
        <v>26</v>
      </c>
      <c r="C16" s="220"/>
      <c r="D16" s="221">
        <v>9000</v>
      </c>
      <c r="E16" s="221">
        <v>8400</v>
      </c>
      <c r="F16" s="221">
        <f t="shared" si="1"/>
        <v>600</v>
      </c>
      <c r="G16" s="220">
        <f t="shared" si="0"/>
        <v>93.3333333333333</v>
      </c>
      <c r="H16" s="220" t="e">
        <f t="shared" si="2"/>
        <v>#DIV/0!</v>
      </c>
    </row>
    <row r="17" spans="1:8">
      <c r="A17" s="218" t="s">
        <v>27</v>
      </c>
      <c r="B17" s="219" t="s">
        <v>28</v>
      </c>
      <c r="C17" s="220"/>
      <c r="D17" s="221">
        <v>1370000</v>
      </c>
      <c r="E17" s="221">
        <f>768490+200000.01</f>
        <v>968490.01</v>
      </c>
      <c r="F17" s="221">
        <f t="shared" si="1"/>
        <v>401509.99</v>
      </c>
      <c r="G17" s="220">
        <f t="shared" si="0"/>
        <v>70.692701459854</v>
      </c>
      <c r="H17" s="220" t="e">
        <f t="shared" si="2"/>
        <v>#DIV/0!</v>
      </c>
    </row>
    <row r="18" ht="16.5" customHeight="1" spans="1:8">
      <c r="A18" s="218" t="s">
        <v>29</v>
      </c>
      <c r="B18" s="219" t="s">
        <v>30</v>
      </c>
      <c r="C18" s="220"/>
      <c r="D18" s="221">
        <v>300000</v>
      </c>
      <c r="E18" s="221">
        <v>0</v>
      </c>
      <c r="F18" s="221">
        <f t="shared" si="1"/>
        <v>300000</v>
      </c>
      <c r="G18" s="220">
        <f t="shared" si="0"/>
        <v>0</v>
      </c>
      <c r="H18" s="220" t="e">
        <f t="shared" si="2"/>
        <v>#DIV/0!</v>
      </c>
    </row>
    <row r="19" spans="1:8">
      <c r="A19" s="218" t="s">
        <v>31</v>
      </c>
      <c r="B19" s="219" t="s">
        <v>32</v>
      </c>
      <c r="C19" s="220"/>
      <c r="D19" s="221">
        <v>0</v>
      </c>
      <c r="E19" s="221">
        <v>0</v>
      </c>
      <c r="F19" s="221">
        <f t="shared" si="1"/>
        <v>0</v>
      </c>
      <c r="G19" s="220">
        <v>0</v>
      </c>
      <c r="H19" s="220" t="e">
        <f t="shared" si="2"/>
        <v>#DIV/0!</v>
      </c>
    </row>
    <row r="20" spans="1:8">
      <c r="A20" s="218" t="s">
        <v>33</v>
      </c>
      <c r="B20" s="219" t="s">
        <v>34</v>
      </c>
      <c r="C20" s="220"/>
      <c r="D20" s="221">
        <v>714400</v>
      </c>
      <c r="E20" s="221">
        <f>310081.72+66636+60221.2</f>
        <v>436938.92</v>
      </c>
      <c r="F20" s="221">
        <f t="shared" si="1"/>
        <v>277461.08</v>
      </c>
      <c r="G20" s="220">
        <f t="shared" si="0"/>
        <v>61.1616629339306</v>
      </c>
      <c r="H20" s="220" t="e">
        <f t="shared" si="2"/>
        <v>#DIV/0!</v>
      </c>
    </row>
    <row r="21" ht="16.5" customHeight="1" spans="1:8">
      <c r="A21" s="218" t="s">
        <v>35</v>
      </c>
      <c r="B21" s="219" t="s">
        <v>36</v>
      </c>
      <c r="C21" s="220"/>
      <c r="D21" s="221">
        <v>0</v>
      </c>
      <c r="E21" s="221">
        <v>0</v>
      </c>
      <c r="F21" s="221">
        <f t="shared" si="1"/>
        <v>0</v>
      </c>
      <c r="G21" s="220">
        <v>0</v>
      </c>
      <c r="H21" s="220" t="e">
        <f t="shared" si="2"/>
        <v>#DIV/0!</v>
      </c>
    </row>
    <row r="22" spans="1:8">
      <c r="A22" s="218" t="s">
        <v>37</v>
      </c>
      <c r="B22" s="219" t="s">
        <v>38</v>
      </c>
      <c r="C22" s="220"/>
      <c r="D22" s="221">
        <f>D23+D24</f>
        <v>767700</v>
      </c>
      <c r="E22" s="221">
        <f>E23+E24</f>
        <v>562295.61</v>
      </c>
      <c r="F22" s="221">
        <f t="shared" si="1"/>
        <v>205404.39</v>
      </c>
      <c r="G22" s="220">
        <f t="shared" si="0"/>
        <v>73.2441852286049</v>
      </c>
      <c r="H22" s="220" t="e">
        <f t="shared" si="2"/>
        <v>#DIV/0!</v>
      </c>
    </row>
    <row r="23" spans="1:8">
      <c r="A23" s="223" t="s">
        <v>39</v>
      </c>
      <c r="B23" s="219" t="s">
        <v>38</v>
      </c>
      <c r="C23" s="220"/>
      <c r="D23" s="221">
        <v>492700</v>
      </c>
      <c r="E23" s="221">
        <f>255778.63+2775.66+82588.95+17540.64+10860.18+5000</f>
        <v>374544.06</v>
      </c>
      <c r="F23" s="221">
        <f t="shared" si="1"/>
        <v>118155.94</v>
      </c>
      <c r="G23" s="220">
        <f t="shared" si="0"/>
        <v>76.0186847980516</v>
      </c>
      <c r="H23" s="220" t="e">
        <f t="shared" si="2"/>
        <v>#DIV/0!</v>
      </c>
    </row>
    <row r="24" spans="1:8">
      <c r="A24" s="223" t="s">
        <v>40</v>
      </c>
      <c r="B24" s="219" t="s">
        <v>38</v>
      </c>
      <c r="C24" s="220"/>
      <c r="D24" s="221">
        <v>275000</v>
      </c>
      <c r="E24" s="221">
        <f>108835+2180.36+23670.48+982.14+23076.39+690.84+1841.23+26475.11</f>
        <v>187751.55</v>
      </c>
      <c r="F24" s="221">
        <f t="shared" si="1"/>
        <v>87248.45</v>
      </c>
      <c r="G24" s="220">
        <f t="shared" si="0"/>
        <v>68.2732909090909</v>
      </c>
      <c r="H24" s="220" t="e">
        <f t="shared" si="2"/>
        <v>#DIV/0!</v>
      </c>
    </row>
    <row r="25" ht="18.75" customHeight="1" spans="1:8">
      <c r="A25" s="218" t="s">
        <v>41</v>
      </c>
      <c r="B25" s="219" t="s">
        <v>42</v>
      </c>
      <c r="C25" s="220"/>
      <c r="D25" s="221">
        <v>12000</v>
      </c>
      <c r="E25" s="221">
        <v>0</v>
      </c>
      <c r="F25" s="221">
        <f t="shared" si="1"/>
        <v>12000</v>
      </c>
      <c r="G25" s="220">
        <f t="shared" si="0"/>
        <v>0</v>
      </c>
      <c r="H25" s="220"/>
    </row>
    <row r="26" ht="18" customHeight="1" spans="1:8">
      <c r="A26" s="218" t="s">
        <v>43</v>
      </c>
      <c r="B26" s="219" t="s">
        <v>44</v>
      </c>
      <c r="C26" s="220"/>
      <c r="D26" s="221">
        <v>30600</v>
      </c>
      <c r="E26" s="221">
        <v>12976.8</v>
      </c>
      <c r="F26" s="221">
        <f t="shared" si="1"/>
        <v>17623.2</v>
      </c>
      <c r="G26" s="220">
        <f t="shared" si="0"/>
        <v>42.4078431372549</v>
      </c>
      <c r="H26" s="220" t="e">
        <f t="shared" si="2"/>
        <v>#DIV/0!</v>
      </c>
    </row>
    <row r="27" spans="1:8">
      <c r="A27" s="218" t="s">
        <v>45</v>
      </c>
      <c r="B27" s="219" t="s">
        <v>46</v>
      </c>
      <c r="C27" s="220"/>
      <c r="D27" s="221">
        <v>142200</v>
      </c>
      <c r="E27" s="221">
        <f>4000+12430+53983</f>
        <v>70413</v>
      </c>
      <c r="F27" s="221">
        <f t="shared" si="1"/>
        <v>71787</v>
      </c>
      <c r="G27" s="220">
        <f t="shared" si="0"/>
        <v>49.5168776371308</v>
      </c>
      <c r="H27" s="220" t="e">
        <f t="shared" si="2"/>
        <v>#DIV/0!</v>
      </c>
    </row>
    <row r="28" ht="31.5" customHeight="1" spans="1:8">
      <c r="A28" s="218" t="s">
        <v>47</v>
      </c>
      <c r="B28" s="219" t="s">
        <v>48</v>
      </c>
      <c r="C28" s="220"/>
      <c r="D28" s="221">
        <v>5000</v>
      </c>
      <c r="E28" s="221">
        <v>0</v>
      </c>
      <c r="F28" s="221">
        <f t="shared" si="1"/>
        <v>5000</v>
      </c>
      <c r="G28" s="220">
        <f t="shared" si="0"/>
        <v>0</v>
      </c>
      <c r="H28" s="220" t="e">
        <f t="shared" si="2"/>
        <v>#DIV/0!</v>
      </c>
    </row>
    <row r="29" spans="1:8">
      <c r="A29" s="218" t="s">
        <v>49</v>
      </c>
      <c r="B29" s="219" t="s">
        <v>50</v>
      </c>
      <c r="C29" s="220"/>
      <c r="D29" s="221">
        <v>118800</v>
      </c>
      <c r="E29" s="221">
        <v>118650</v>
      </c>
      <c r="F29" s="221">
        <f t="shared" si="1"/>
        <v>150</v>
      </c>
      <c r="G29" s="220">
        <f t="shared" si="0"/>
        <v>99.8737373737374</v>
      </c>
      <c r="H29" s="220" t="e">
        <f t="shared" si="2"/>
        <v>#DIV/0!</v>
      </c>
    </row>
    <row r="30" spans="1:8">
      <c r="A30" s="224" t="s">
        <v>51</v>
      </c>
      <c r="B30" s="225"/>
      <c r="C30" s="226"/>
      <c r="D30" s="227">
        <f>D5+D6+D7+D8+D11+D12+D13+D14+D15+D16+D17+D18+D19+D20+D21+D22+D25+D26+D27+D28+D29</f>
        <v>5878030</v>
      </c>
      <c r="E30" s="227">
        <f>E5+E6+E7+E8+E11+E12+E13+E14+E15+E16+E17+E18+E19+E20+E21+E22+E25+E26+E27+E28+E29</f>
        <v>4319466.01</v>
      </c>
      <c r="F30" s="227">
        <f t="shared" si="1"/>
        <v>1558563.99</v>
      </c>
      <c r="G30" s="226">
        <f t="shared" si="0"/>
        <v>73.4849262422955</v>
      </c>
      <c r="H30" s="226" t="e">
        <f t="shared" si="2"/>
        <v>#DIV/0!</v>
      </c>
    </row>
    <row r="32" ht="17.25" customHeight="1" spans="1:8">
      <c r="A32" s="228" t="s">
        <v>52</v>
      </c>
      <c r="B32" s="228"/>
      <c r="C32" s="228"/>
      <c r="D32" s="229"/>
      <c r="E32" s="230" t="s">
        <v>53</v>
      </c>
      <c r="F32" s="230"/>
      <c r="G32" s="230"/>
      <c r="H32" s="230"/>
    </row>
  </sheetData>
  <mergeCells count="3">
    <mergeCell ref="A2:H2"/>
    <mergeCell ref="A32:C32"/>
    <mergeCell ref="E32:H32"/>
  </mergeCells>
  <pageMargins left="0.708661417322835" right="0.708661417322835" top="0.15748031496063" bottom="0.15748031496063" header="0.31496062992126" footer="0.31496062992126"/>
  <pageSetup paperSize="9" scale="8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22" sqref="$A1:$XFD1048576"/>
    </sheetView>
  </sheetViews>
  <sheetFormatPr defaultColWidth="9" defaultRowHeight="15" outlineLevelCol="5"/>
  <cols>
    <col min="1" max="1" width="19.4285714285714" customWidth="1"/>
    <col min="2" max="2" width="32.1428571428571" style="2" customWidth="1"/>
    <col min="3" max="3" width="21.2857142857143" style="63" customWidth="1"/>
    <col min="4" max="4" width="19.5714285714286" style="3" customWidth="1"/>
    <col min="5" max="5" width="17.5714285714286" style="3" customWidth="1"/>
    <col min="6" max="6" width="11" customWidth="1"/>
  </cols>
  <sheetData>
    <row r="1" ht="60.75" customHeight="1" spans="1:6">
      <c r="A1" s="64" t="s">
        <v>64</v>
      </c>
      <c r="B1" s="65" t="s">
        <v>65</v>
      </c>
      <c r="C1" s="66" t="s">
        <v>66</v>
      </c>
      <c r="D1" s="67" t="s">
        <v>67</v>
      </c>
      <c r="E1" s="68" t="s">
        <v>68</v>
      </c>
      <c r="F1" s="69" t="s">
        <v>69</v>
      </c>
    </row>
    <row r="2" ht="15.75" spans="1:6">
      <c r="A2" s="70"/>
      <c r="B2" s="71"/>
      <c r="C2" s="72"/>
      <c r="D2" s="73"/>
      <c r="E2" s="74" t="s">
        <v>70</v>
      </c>
      <c r="F2" s="69"/>
    </row>
    <row r="3" ht="41.25" customHeight="1" spans="1:6">
      <c r="A3" s="71" t="s">
        <v>155</v>
      </c>
      <c r="B3" s="169" t="s">
        <v>156</v>
      </c>
      <c r="C3" s="170">
        <f>2300000+23000+2967500</f>
        <v>5290500</v>
      </c>
      <c r="D3" s="171">
        <f>563939.49+3801.71+918644.17-117491.91</f>
        <v>1368893.46</v>
      </c>
      <c r="E3" s="130">
        <f>C3-D3</f>
        <v>3921606.54</v>
      </c>
      <c r="F3" s="131">
        <f>D3/C3*100</f>
        <v>25.8745574142331</v>
      </c>
    </row>
    <row r="4" ht="38.25" customHeight="1" spans="1:6">
      <c r="A4" s="114" t="s">
        <v>71</v>
      </c>
      <c r="B4" s="122" t="s">
        <v>72</v>
      </c>
      <c r="C4" s="128">
        <v>9600000</v>
      </c>
      <c r="D4" s="129">
        <f>1947030.98+218.14+24691.99+5528.87</f>
        <v>1977469.98</v>
      </c>
      <c r="E4" s="130">
        <f>C4-D4</f>
        <v>7622530.02</v>
      </c>
      <c r="F4" s="131">
        <f>D4/C4*100</f>
        <v>20.598645625</v>
      </c>
    </row>
    <row r="5" ht="25.5" customHeight="1" spans="1:6">
      <c r="A5" s="114" t="s">
        <v>73</v>
      </c>
      <c r="B5" s="122" t="s">
        <v>74</v>
      </c>
      <c r="C5" s="128">
        <v>2634000</v>
      </c>
      <c r="D5" s="129">
        <v>1758073.46</v>
      </c>
      <c r="E5" s="130">
        <f>C5-D5</f>
        <v>875926.54</v>
      </c>
      <c r="F5" s="131">
        <f>D5/C5*100</f>
        <v>66.7453857251329</v>
      </c>
    </row>
    <row r="6" ht="19.5" customHeight="1" spans="1:6">
      <c r="A6" s="114" t="s">
        <v>75</v>
      </c>
      <c r="B6" s="122" t="s">
        <v>76</v>
      </c>
      <c r="C6" s="128">
        <v>1660000</v>
      </c>
      <c r="D6" s="129">
        <v>175951.54</v>
      </c>
      <c r="E6" s="130">
        <f>C6-D6</f>
        <v>1484048.46</v>
      </c>
      <c r="F6" s="131">
        <f>D6/C6*100</f>
        <v>10.5994903614458</v>
      </c>
    </row>
    <row r="7" ht="13.5" customHeight="1" spans="1:6">
      <c r="A7" s="118" t="s">
        <v>77</v>
      </c>
      <c r="B7" s="119" t="s">
        <v>78</v>
      </c>
      <c r="C7" s="120">
        <f>SUM(C9:C10)</f>
        <v>10273500</v>
      </c>
      <c r="D7" s="121">
        <f>SUM(D9:D11)</f>
        <v>3641050.02</v>
      </c>
      <c r="E7" s="121">
        <f>SUM(E9:E11)</f>
        <v>6632449.98</v>
      </c>
      <c r="F7" s="172">
        <f t="shared" ref="F7:F34" si="0">D7/C7*100</f>
        <v>35.4411838224558</v>
      </c>
    </row>
    <row r="8" ht="13.5" customHeight="1" spans="1:6">
      <c r="A8" s="114"/>
      <c r="B8" s="122" t="s">
        <v>79</v>
      </c>
      <c r="C8" s="123"/>
      <c r="D8" s="124"/>
      <c r="E8" s="124"/>
      <c r="F8" s="173"/>
    </row>
    <row r="9" ht="47.25" customHeight="1" spans="1:6">
      <c r="A9" s="114" t="s">
        <v>157</v>
      </c>
      <c r="B9" s="115" t="s">
        <v>158</v>
      </c>
      <c r="C9" s="116">
        <v>5565500</v>
      </c>
      <c r="D9" s="117">
        <v>3324090.77</v>
      </c>
      <c r="E9" s="130">
        <f>C9-D9</f>
        <v>2241409.23</v>
      </c>
      <c r="F9" s="131">
        <f t="shared" si="0"/>
        <v>59.7267230257838</v>
      </c>
    </row>
    <row r="10" ht="45.75" spans="1:6">
      <c r="A10" s="114" t="s">
        <v>159</v>
      </c>
      <c r="B10" s="115" t="s">
        <v>160</v>
      </c>
      <c r="C10" s="116">
        <v>4708000</v>
      </c>
      <c r="D10" s="117">
        <v>316959.25</v>
      </c>
      <c r="E10" s="130">
        <f>C10-D10</f>
        <v>4391040.75</v>
      </c>
      <c r="F10" s="131">
        <f t="shared" si="0"/>
        <v>6.73235450297366</v>
      </c>
    </row>
    <row r="11" ht="23.25" spans="1:6">
      <c r="A11" s="114" t="s">
        <v>147</v>
      </c>
      <c r="B11" s="115" t="s">
        <v>85</v>
      </c>
      <c r="C11" s="116">
        <v>0</v>
      </c>
      <c r="D11" s="117">
        <v>0</v>
      </c>
      <c r="E11" s="130">
        <f>C11-D11</f>
        <v>0</v>
      </c>
      <c r="F11" s="131" t="e">
        <f t="shared" si="0"/>
        <v>#DIV/0!</v>
      </c>
    </row>
    <row r="12" ht="21" spans="1:6">
      <c r="A12" s="118" t="s">
        <v>86</v>
      </c>
      <c r="B12" s="119" t="s">
        <v>87</v>
      </c>
      <c r="C12" s="120">
        <f>SUM(C14:C16)</f>
        <v>0</v>
      </c>
      <c r="D12" s="121">
        <v>0</v>
      </c>
      <c r="E12" s="121">
        <f>SUM(E14:E16)</f>
        <v>0</v>
      </c>
      <c r="F12" s="156" t="e">
        <f t="shared" si="0"/>
        <v>#DIV/0!</v>
      </c>
    </row>
    <row r="13" ht="15.75" customHeight="1" spans="1:6">
      <c r="A13" s="114"/>
      <c r="B13" s="122" t="s">
        <v>79</v>
      </c>
      <c r="C13" s="123"/>
      <c r="D13" s="124"/>
      <c r="E13" s="124"/>
      <c r="F13" s="158"/>
    </row>
    <row r="14" ht="38.25" customHeight="1" spans="1:6">
      <c r="A14" s="114" t="s">
        <v>88</v>
      </c>
      <c r="B14" s="115" t="s">
        <v>89</v>
      </c>
      <c r="C14" s="116">
        <v>0</v>
      </c>
      <c r="D14" s="125">
        <v>0</v>
      </c>
      <c r="E14" s="130">
        <f t="shared" ref="E14:E23" si="1">C14-D14</f>
        <v>0</v>
      </c>
      <c r="F14" s="131" t="e">
        <f t="shared" si="0"/>
        <v>#DIV/0!</v>
      </c>
    </row>
    <row r="15" ht="48" customHeight="1" spans="1:6">
      <c r="A15" s="114" t="s">
        <v>90</v>
      </c>
      <c r="B15" s="115" t="s">
        <v>91</v>
      </c>
      <c r="C15" s="116">
        <v>0</v>
      </c>
      <c r="D15" s="126">
        <v>0</v>
      </c>
      <c r="E15" s="130">
        <f t="shared" si="1"/>
        <v>0</v>
      </c>
      <c r="F15" s="131" t="e">
        <f t="shared" si="0"/>
        <v>#DIV/0!</v>
      </c>
    </row>
    <row r="16" ht="43.5" customHeight="1" spans="1:6">
      <c r="A16" s="114" t="s">
        <v>92</v>
      </c>
      <c r="B16" s="115" t="s">
        <v>93</v>
      </c>
      <c r="C16" s="116">
        <v>0</v>
      </c>
      <c r="D16" s="113">
        <v>0</v>
      </c>
      <c r="E16" s="130">
        <f t="shared" si="1"/>
        <v>0</v>
      </c>
      <c r="F16" s="131" t="e">
        <f t="shared" si="0"/>
        <v>#DIV/0!</v>
      </c>
    </row>
    <row r="17" ht="36" customHeight="1" spans="1:6">
      <c r="A17" s="114" t="s">
        <v>94</v>
      </c>
      <c r="B17" s="122" t="s">
        <v>95</v>
      </c>
      <c r="C17" s="128">
        <v>36780</v>
      </c>
      <c r="D17" s="129">
        <v>0</v>
      </c>
      <c r="E17" s="130">
        <f t="shared" si="1"/>
        <v>36780</v>
      </c>
      <c r="F17" s="131">
        <f t="shared" si="0"/>
        <v>0</v>
      </c>
    </row>
    <row r="18" ht="33.75" customHeight="1" spans="1:6">
      <c r="A18" s="114" t="s">
        <v>96</v>
      </c>
      <c r="B18" s="10" t="s">
        <v>97</v>
      </c>
      <c r="C18" s="134">
        <v>0</v>
      </c>
      <c r="D18" s="174">
        <v>0</v>
      </c>
      <c r="E18" s="130">
        <f t="shared" si="1"/>
        <v>0</v>
      </c>
      <c r="F18" s="131" t="e">
        <f t="shared" si="0"/>
        <v>#DIV/0!</v>
      </c>
    </row>
    <row r="19" ht="55.5" customHeight="1" spans="1:6">
      <c r="A19" s="114" t="s">
        <v>98</v>
      </c>
      <c r="B19" s="127" t="s">
        <v>99</v>
      </c>
      <c r="C19" s="128">
        <v>15000</v>
      </c>
      <c r="D19" s="129">
        <v>0</v>
      </c>
      <c r="E19" s="130">
        <f t="shared" si="1"/>
        <v>15000</v>
      </c>
      <c r="F19" s="131">
        <f t="shared" si="0"/>
        <v>0</v>
      </c>
    </row>
    <row r="20" ht="24.75" customHeight="1" spans="1:6">
      <c r="A20" s="114" t="s">
        <v>100</v>
      </c>
      <c r="B20" s="127" t="s">
        <v>101</v>
      </c>
      <c r="C20" s="128">
        <v>0</v>
      </c>
      <c r="D20" s="129">
        <v>0</v>
      </c>
      <c r="E20" s="130">
        <f t="shared" si="1"/>
        <v>0</v>
      </c>
      <c r="F20" s="131" t="e">
        <f t="shared" si="0"/>
        <v>#DIV/0!</v>
      </c>
    </row>
    <row r="21" ht="28.5" customHeight="1" spans="1:6">
      <c r="A21" s="114" t="s">
        <v>148</v>
      </c>
      <c r="B21" s="127" t="s">
        <v>149</v>
      </c>
      <c r="C21" s="128">
        <v>0</v>
      </c>
      <c r="D21" s="129">
        <v>0</v>
      </c>
      <c r="E21" s="130">
        <f t="shared" si="1"/>
        <v>0</v>
      </c>
      <c r="F21" s="131" t="e">
        <f t="shared" si="0"/>
        <v>#DIV/0!</v>
      </c>
    </row>
    <row r="22" ht="33.75" customHeight="1" spans="1:6">
      <c r="A22" s="114" t="s">
        <v>103</v>
      </c>
      <c r="B22" s="127" t="s">
        <v>104</v>
      </c>
      <c r="C22" s="128">
        <v>0</v>
      </c>
      <c r="D22" s="129">
        <v>0</v>
      </c>
      <c r="E22" s="130">
        <f t="shared" si="1"/>
        <v>0</v>
      </c>
      <c r="F22" s="131" t="e">
        <f t="shared" si="0"/>
        <v>#DIV/0!</v>
      </c>
    </row>
    <row r="23" ht="37.5" customHeight="1" spans="1:6">
      <c r="A23" s="114" t="s">
        <v>105</v>
      </c>
      <c r="B23" s="127" t="s">
        <v>106</v>
      </c>
      <c r="C23" s="128">
        <v>0</v>
      </c>
      <c r="D23" s="129">
        <v>0</v>
      </c>
      <c r="E23" s="130">
        <f t="shared" si="1"/>
        <v>0</v>
      </c>
      <c r="F23" s="131" t="e">
        <f t="shared" si="0"/>
        <v>#DIV/0!</v>
      </c>
    </row>
    <row r="24" ht="15.75" customHeight="1" spans="1:6">
      <c r="A24" s="132" t="s">
        <v>109</v>
      </c>
      <c r="B24" s="133"/>
      <c r="C24" s="134">
        <f>C18+C17+C12+C7+C6+C5+C4+C3+C19+C20</f>
        <v>29509780</v>
      </c>
      <c r="D24" s="134">
        <f>D18+D17+D12+D7+D6+D5+D4+D3+D19+D20</f>
        <v>8921438.46</v>
      </c>
      <c r="E24" s="134">
        <f>E18+E17+E12+E7+E6+E5+E4+E3+E20+E19</f>
        <v>20588341.54</v>
      </c>
      <c r="F24" s="131">
        <f t="shared" si="0"/>
        <v>30.2321415476496</v>
      </c>
    </row>
    <row r="25" s="60" customFormat="1" ht="16.5" spans="1:6">
      <c r="A25" s="135" t="s">
        <v>110</v>
      </c>
      <c r="B25" s="10" t="s">
        <v>111</v>
      </c>
      <c r="C25" s="134">
        <f>C26+C27+C28+C29+C30+C31+C32</f>
        <v>9313400</v>
      </c>
      <c r="D25" s="134">
        <f>D26+D27+D28+D29+D30+D31+D32</f>
        <v>535091.29</v>
      </c>
      <c r="E25" s="130">
        <f>C25-D25</f>
        <v>8778308.71</v>
      </c>
      <c r="F25" s="137">
        <f t="shared" si="0"/>
        <v>5.74539147894432</v>
      </c>
    </row>
    <row r="26" s="167" customFormat="1" ht="34.5" spans="1:6">
      <c r="A26" s="175" t="s">
        <v>161</v>
      </c>
      <c r="B26" s="15" t="s">
        <v>162</v>
      </c>
      <c r="C26" s="176">
        <v>539600</v>
      </c>
      <c r="D26" s="176">
        <v>0</v>
      </c>
      <c r="E26" s="177">
        <f>C26-D26</f>
        <v>539600</v>
      </c>
      <c r="F26" s="178">
        <f t="shared" si="0"/>
        <v>0</v>
      </c>
    </row>
    <row r="27" s="62" customFormat="1" ht="28.5" customHeight="1" spans="1:6">
      <c r="A27" s="179" t="s">
        <v>163</v>
      </c>
      <c r="B27" s="180" t="s">
        <v>164</v>
      </c>
      <c r="C27" s="181">
        <v>8138300</v>
      </c>
      <c r="D27" s="152">
        <v>245158.64</v>
      </c>
      <c r="E27" s="153">
        <f>C27-D27</f>
        <v>7893141.36</v>
      </c>
      <c r="F27" s="182">
        <f t="shared" si="0"/>
        <v>3.01240603074352</v>
      </c>
    </row>
    <row r="28" s="62" customFormat="1" ht="30.75" customHeight="1" spans="1:6">
      <c r="A28" s="183" t="s">
        <v>165</v>
      </c>
      <c r="B28" s="184" t="s">
        <v>166</v>
      </c>
      <c r="C28" s="185">
        <v>7600</v>
      </c>
      <c r="D28" s="152"/>
      <c r="E28" s="153">
        <f t="shared" ref="E28:E32" si="2">C28-D28</f>
        <v>7600</v>
      </c>
      <c r="F28" s="182"/>
    </row>
    <row r="29" s="62" customFormat="1" ht="30.75" customHeight="1" spans="1:6">
      <c r="A29" s="183" t="s">
        <v>167</v>
      </c>
      <c r="B29" s="184" t="s">
        <v>168</v>
      </c>
      <c r="C29" s="185">
        <v>402100</v>
      </c>
      <c r="D29" s="152">
        <v>64132.65</v>
      </c>
      <c r="E29" s="153">
        <f t="shared" si="2"/>
        <v>337967.35</v>
      </c>
      <c r="F29" s="182"/>
    </row>
    <row r="30" s="62" customFormat="1" ht="33.75" customHeight="1" spans="1:6">
      <c r="A30" s="183" t="s">
        <v>169</v>
      </c>
      <c r="B30" s="184" t="s">
        <v>170</v>
      </c>
      <c r="C30" s="185">
        <v>225800</v>
      </c>
      <c r="D30" s="152">
        <v>225800</v>
      </c>
      <c r="E30" s="186">
        <f t="shared" si="2"/>
        <v>0</v>
      </c>
      <c r="F30" s="182">
        <f t="shared" si="0"/>
        <v>100</v>
      </c>
    </row>
    <row r="31" s="168" customFormat="1" ht="16.5" spans="1:6">
      <c r="A31" s="150" t="s">
        <v>171</v>
      </c>
      <c r="B31" s="187" t="s">
        <v>172</v>
      </c>
      <c r="C31" s="152">
        <v>0</v>
      </c>
      <c r="D31" s="152">
        <v>0</v>
      </c>
      <c r="E31" s="186">
        <f t="shared" si="2"/>
        <v>0</v>
      </c>
      <c r="F31" s="188" t="e">
        <f t="shared" ref="F31:F32" si="3">D31/C31*100</f>
        <v>#DIV/0!</v>
      </c>
    </row>
    <row r="32" s="62" customFormat="1" ht="47.25" customHeight="1" spans="1:6">
      <c r="A32" s="150" t="s">
        <v>107</v>
      </c>
      <c r="B32" s="151" t="s">
        <v>108</v>
      </c>
      <c r="C32" s="152">
        <v>0</v>
      </c>
      <c r="D32" s="152">
        <v>0</v>
      </c>
      <c r="E32" s="153">
        <f t="shared" si="2"/>
        <v>0</v>
      </c>
      <c r="F32" s="154" t="e">
        <f t="shared" si="3"/>
        <v>#DIV/0!</v>
      </c>
    </row>
    <row r="33" ht="16.5" spans="1:6">
      <c r="A33" s="132" t="s">
        <v>112</v>
      </c>
      <c r="B33" s="133"/>
      <c r="C33" s="134">
        <f>C24++C25+C31+C32</f>
        <v>38823180</v>
      </c>
      <c r="D33" s="134">
        <f>D24++D25+D31+D32</f>
        <v>9456529.75</v>
      </c>
      <c r="E33" s="134">
        <f>E24++E25+E31+E32</f>
        <v>29366650.25</v>
      </c>
      <c r="F33" s="131">
        <f t="shared" si="0"/>
        <v>24.3579473654657</v>
      </c>
    </row>
    <row r="34" ht="28.5" customHeight="1" spans="1:6">
      <c r="A34" s="132" t="s">
        <v>113</v>
      </c>
      <c r="B34" s="133"/>
      <c r="C34" s="134">
        <f>C33</f>
        <v>38823180</v>
      </c>
      <c r="D34" s="174">
        <f t="shared" ref="D34:E34" si="4">D33</f>
        <v>9456529.75</v>
      </c>
      <c r="E34" s="174">
        <f t="shared" si="4"/>
        <v>29366650.25</v>
      </c>
      <c r="F34" s="131">
        <f t="shared" si="0"/>
        <v>24.3579473654657</v>
      </c>
    </row>
  </sheetData>
  <mergeCells count="17">
    <mergeCell ref="A24:B24"/>
    <mergeCell ref="A33:B33"/>
    <mergeCell ref="A34:B34"/>
    <mergeCell ref="A1:A2"/>
    <mergeCell ref="A7:A8"/>
    <mergeCell ref="A12:A13"/>
    <mergeCell ref="B1:B2"/>
    <mergeCell ref="C1:C2"/>
    <mergeCell ref="C7:C8"/>
    <mergeCell ref="C12:C13"/>
    <mergeCell ref="D1:D2"/>
    <mergeCell ref="D7:D8"/>
    <mergeCell ref="D12:D13"/>
    <mergeCell ref="E7:E8"/>
    <mergeCell ref="E12:E13"/>
    <mergeCell ref="F7:F8"/>
    <mergeCell ref="F12:F13"/>
  </mergeCells>
  <pageMargins left="0.7" right="0.7" top="0.75" bottom="0.75" header="0.3" footer="0.3"/>
  <pageSetup paperSize="9" scale="7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1" sqref="$A1:$XFD1048576"/>
    </sheetView>
  </sheetViews>
  <sheetFormatPr defaultColWidth="9" defaultRowHeight="15" outlineLevelCol="5"/>
  <cols>
    <col min="1" max="1" width="19.4285714285714" customWidth="1"/>
    <col min="2" max="2" width="32.1428571428571" style="2" customWidth="1"/>
    <col min="3" max="3" width="21.2857142857143" style="63" customWidth="1"/>
    <col min="4" max="4" width="19.5714285714286" style="3" customWidth="1"/>
    <col min="5" max="5" width="17.5714285714286" style="3" customWidth="1"/>
    <col min="6" max="6" width="11" customWidth="1"/>
  </cols>
  <sheetData>
    <row r="1" ht="60.75" customHeight="1" spans="1:6">
      <c r="A1" s="64" t="s">
        <v>64</v>
      </c>
      <c r="B1" s="65" t="s">
        <v>65</v>
      </c>
      <c r="C1" s="66" t="s">
        <v>66</v>
      </c>
      <c r="D1" s="67" t="s">
        <v>67</v>
      </c>
      <c r="E1" s="68" t="s">
        <v>68</v>
      </c>
      <c r="F1" s="69" t="s">
        <v>69</v>
      </c>
    </row>
    <row r="2" ht="15.75" spans="1:6">
      <c r="A2" s="70"/>
      <c r="B2" s="71"/>
      <c r="C2" s="72"/>
      <c r="D2" s="73"/>
      <c r="E2" s="74" t="s">
        <v>70</v>
      </c>
      <c r="F2" s="69"/>
    </row>
    <row r="3" ht="41.25" customHeight="1" spans="1:6">
      <c r="A3" s="71" t="s">
        <v>155</v>
      </c>
      <c r="B3" s="169" t="s">
        <v>156</v>
      </c>
      <c r="C3" s="170">
        <f>2300000+23000+2963300</f>
        <v>5286300</v>
      </c>
      <c r="D3" s="171">
        <f>750601.09+5244.45+1100536.09-147724</f>
        <v>1708657.63</v>
      </c>
      <c r="E3" s="130">
        <f>C3-D3</f>
        <v>3577642.37</v>
      </c>
      <c r="F3" s="131">
        <f>D3/C3*100</f>
        <v>32.322373493748</v>
      </c>
    </row>
    <row r="4" ht="38.25" customHeight="1" spans="1:6">
      <c r="A4" s="114" t="s">
        <v>71</v>
      </c>
      <c r="B4" s="122" t="s">
        <v>72</v>
      </c>
      <c r="C4" s="128">
        <v>11110000</v>
      </c>
      <c r="D4" s="129">
        <v>2334383.16</v>
      </c>
      <c r="E4" s="130">
        <f>C4-D4</f>
        <v>8775616.84</v>
      </c>
      <c r="F4" s="131">
        <f>D4/C4*100</f>
        <v>21.0115495949595</v>
      </c>
    </row>
    <row r="5" ht="25.5" customHeight="1" spans="1:6">
      <c r="A5" s="114" t="s">
        <v>73</v>
      </c>
      <c r="B5" s="122" t="s">
        <v>74</v>
      </c>
      <c r="C5" s="128">
        <v>2725000</v>
      </c>
      <c r="D5" s="129">
        <v>1139412.13</v>
      </c>
      <c r="E5" s="130">
        <f>C5-D5</f>
        <v>1585587.87</v>
      </c>
      <c r="F5" s="131">
        <f>D5/C5*100</f>
        <v>41.8132891743119</v>
      </c>
    </row>
    <row r="6" ht="19.5" customHeight="1" spans="1:6">
      <c r="A6" s="114" t="s">
        <v>75</v>
      </c>
      <c r="B6" s="122" t="s">
        <v>76</v>
      </c>
      <c r="C6" s="128">
        <v>4600000</v>
      </c>
      <c r="D6" s="129">
        <v>121151.24</v>
      </c>
      <c r="E6" s="130">
        <f>C6-D6</f>
        <v>4478848.76</v>
      </c>
      <c r="F6" s="131">
        <f>D6/C6*100</f>
        <v>2.63372260869565</v>
      </c>
    </row>
    <row r="7" ht="13.5" customHeight="1" spans="1:6">
      <c r="A7" s="118" t="s">
        <v>77</v>
      </c>
      <c r="B7" s="119" t="s">
        <v>78</v>
      </c>
      <c r="C7" s="120">
        <f>SUM(C9:C10)</f>
        <v>11075000</v>
      </c>
      <c r="D7" s="121">
        <f>SUM(D9:D10)</f>
        <v>1561684.24</v>
      </c>
      <c r="E7" s="121">
        <f>SUM(E9:E11)</f>
        <v>9513315.76</v>
      </c>
      <c r="F7" s="172">
        <f t="shared" ref="F7:F34" si="0">D7/C7*100</f>
        <v>14.1009863656885</v>
      </c>
    </row>
    <row r="8" ht="13.5" customHeight="1" spans="1:6">
      <c r="A8" s="114"/>
      <c r="B8" s="122" t="s">
        <v>79</v>
      </c>
      <c r="C8" s="123"/>
      <c r="D8" s="124"/>
      <c r="E8" s="124"/>
      <c r="F8" s="173"/>
    </row>
    <row r="9" ht="47.25" customHeight="1" spans="1:6">
      <c r="A9" s="114" t="s">
        <v>157</v>
      </c>
      <c r="B9" s="115" t="s">
        <v>158</v>
      </c>
      <c r="C9" s="116">
        <v>5590000</v>
      </c>
      <c r="D9" s="117">
        <v>1413493.9</v>
      </c>
      <c r="E9" s="130">
        <f>C9-D9</f>
        <v>4176506.1</v>
      </c>
      <c r="F9" s="131">
        <f t="shared" si="0"/>
        <v>25.2861162790698</v>
      </c>
    </row>
    <row r="10" ht="45.75" spans="1:6">
      <c r="A10" s="114" t="s">
        <v>159</v>
      </c>
      <c r="B10" s="115" t="s">
        <v>160</v>
      </c>
      <c r="C10" s="116">
        <v>5485000</v>
      </c>
      <c r="D10" s="117">
        <v>148190.34</v>
      </c>
      <c r="E10" s="130">
        <f>C10-D10</f>
        <v>5336809.66</v>
      </c>
      <c r="F10" s="131">
        <f t="shared" si="0"/>
        <v>2.70173819507748</v>
      </c>
    </row>
    <row r="11" ht="23.25" spans="1:6">
      <c r="A11" s="114" t="s">
        <v>147</v>
      </c>
      <c r="B11" s="115" t="s">
        <v>85</v>
      </c>
      <c r="C11" s="116">
        <v>0</v>
      </c>
      <c r="D11" s="117">
        <v>54.22</v>
      </c>
      <c r="E11" s="130"/>
      <c r="F11" s="131"/>
    </row>
    <row r="12" ht="21" spans="1:6">
      <c r="A12" s="118" t="s">
        <v>86</v>
      </c>
      <c r="B12" s="119" t="s">
        <v>87</v>
      </c>
      <c r="C12" s="120">
        <f>SUM(C14:C16)</f>
        <v>0</v>
      </c>
      <c r="D12" s="121">
        <v>0</v>
      </c>
      <c r="E12" s="121">
        <f>SUM(E14:E16)</f>
        <v>0</v>
      </c>
      <c r="F12" s="156"/>
    </row>
    <row r="13" ht="15.75" customHeight="1" spans="1:6">
      <c r="A13" s="114"/>
      <c r="B13" s="122" t="s">
        <v>79</v>
      </c>
      <c r="C13" s="123"/>
      <c r="D13" s="124"/>
      <c r="E13" s="124"/>
      <c r="F13" s="158"/>
    </row>
    <row r="14" ht="38.25" customHeight="1" spans="1:6">
      <c r="A14" s="114" t="s">
        <v>88</v>
      </c>
      <c r="B14" s="115" t="s">
        <v>89</v>
      </c>
      <c r="C14" s="116">
        <v>0</v>
      </c>
      <c r="D14" s="125">
        <v>0</v>
      </c>
      <c r="E14" s="130">
        <f t="shared" ref="E14:E23" si="1">C14-D14</f>
        <v>0</v>
      </c>
      <c r="F14" s="131"/>
    </row>
    <row r="15" ht="48" customHeight="1" spans="1:6">
      <c r="A15" s="114" t="s">
        <v>90</v>
      </c>
      <c r="B15" s="115" t="s">
        <v>91</v>
      </c>
      <c r="C15" s="116">
        <v>0</v>
      </c>
      <c r="D15" s="126">
        <v>0</v>
      </c>
      <c r="E15" s="130">
        <f t="shared" si="1"/>
        <v>0</v>
      </c>
      <c r="F15" s="131"/>
    </row>
    <row r="16" ht="43.5" customHeight="1" spans="1:6">
      <c r="A16" s="114" t="s">
        <v>92</v>
      </c>
      <c r="B16" s="115" t="s">
        <v>93</v>
      </c>
      <c r="C16" s="116">
        <v>0</v>
      </c>
      <c r="D16" s="113">
        <v>0</v>
      </c>
      <c r="E16" s="130">
        <f t="shared" si="1"/>
        <v>0</v>
      </c>
      <c r="F16" s="131"/>
    </row>
    <row r="17" ht="36" customHeight="1" spans="1:6">
      <c r="A17" s="114" t="s">
        <v>94</v>
      </c>
      <c r="B17" s="122" t="s">
        <v>95</v>
      </c>
      <c r="C17" s="128">
        <v>35446</v>
      </c>
      <c r="D17" s="129">
        <v>5000</v>
      </c>
      <c r="E17" s="130">
        <f t="shared" si="1"/>
        <v>30446</v>
      </c>
      <c r="F17" s="131">
        <f t="shared" si="0"/>
        <v>14.1059640015799</v>
      </c>
    </row>
    <row r="18" ht="33.75" customHeight="1" spans="1:6">
      <c r="A18" s="114" t="s">
        <v>173</v>
      </c>
      <c r="B18" s="10" t="s">
        <v>97</v>
      </c>
      <c r="C18" s="134">
        <v>0</v>
      </c>
      <c r="D18" s="174">
        <v>-126000</v>
      </c>
      <c r="E18" s="130"/>
      <c r="F18" s="131"/>
    </row>
    <row r="19" ht="55.5" customHeight="1" spans="1:6">
      <c r="A19" s="114" t="s">
        <v>98</v>
      </c>
      <c r="B19" s="127" t="s">
        <v>99</v>
      </c>
      <c r="C19" s="128">
        <v>10000</v>
      </c>
      <c r="D19" s="129">
        <v>5000</v>
      </c>
      <c r="E19" s="130">
        <f t="shared" si="1"/>
        <v>5000</v>
      </c>
      <c r="F19" s="131">
        <f t="shared" si="0"/>
        <v>50</v>
      </c>
    </row>
    <row r="20" ht="24.75" customHeight="1" spans="1:6">
      <c r="A20" s="114" t="s">
        <v>100</v>
      </c>
      <c r="B20" s="127" t="s">
        <v>101</v>
      </c>
      <c r="C20" s="128">
        <v>0</v>
      </c>
      <c r="D20" s="129">
        <v>0</v>
      </c>
      <c r="E20" s="130">
        <f t="shared" si="1"/>
        <v>0</v>
      </c>
      <c r="F20" s="131"/>
    </row>
    <row r="21" ht="28.5" customHeight="1" spans="1:6">
      <c r="A21" s="114" t="s">
        <v>148</v>
      </c>
      <c r="B21" s="127" t="s">
        <v>149</v>
      </c>
      <c r="C21" s="128">
        <v>0</v>
      </c>
      <c r="D21" s="129">
        <v>0</v>
      </c>
      <c r="E21" s="130">
        <f t="shared" si="1"/>
        <v>0</v>
      </c>
      <c r="F21" s="131"/>
    </row>
    <row r="22" ht="33.75" customHeight="1" spans="1:6">
      <c r="A22" s="114" t="s">
        <v>103</v>
      </c>
      <c r="B22" s="127" t="s">
        <v>104</v>
      </c>
      <c r="C22" s="128">
        <v>0</v>
      </c>
      <c r="D22" s="129">
        <v>0</v>
      </c>
      <c r="E22" s="130">
        <f t="shared" si="1"/>
        <v>0</v>
      </c>
      <c r="F22" s="131"/>
    </row>
    <row r="23" ht="37.5" customHeight="1" spans="1:6">
      <c r="A23" s="114" t="s">
        <v>105</v>
      </c>
      <c r="B23" s="127" t="s">
        <v>106</v>
      </c>
      <c r="C23" s="128">
        <v>0</v>
      </c>
      <c r="D23" s="129">
        <v>0</v>
      </c>
      <c r="E23" s="130">
        <f t="shared" si="1"/>
        <v>0</v>
      </c>
      <c r="F23" s="131"/>
    </row>
    <row r="24" ht="15.75" customHeight="1" spans="1:6">
      <c r="A24" s="132" t="s">
        <v>109</v>
      </c>
      <c r="B24" s="133"/>
      <c r="C24" s="134">
        <f>C18+C17+C12+C7+C6+C5+C4+C3+C19+C20</f>
        <v>34841746</v>
      </c>
      <c r="D24" s="134">
        <f>D18+D17+D12+D7+D6+D5+D4+D3+D19+D20+D11</f>
        <v>6749342.62</v>
      </c>
      <c r="E24" s="134">
        <f>E18+E17+E12+E7+E6+E5+E4+E3+E20+E19</f>
        <v>27966457.6</v>
      </c>
      <c r="F24" s="131">
        <f t="shared" si="0"/>
        <v>19.3714247845099</v>
      </c>
    </row>
    <row r="25" s="60" customFormat="1" ht="16.5" spans="1:6">
      <c r="A25" s="135" t="s">
        <v>110</v>
      </c>
      <c r="B25" s="10" t="s">
        <v>111</v>
      </c>
      <c r="C25" s="134">
        <f>C26+C27+C28+C29+C30+C31+C32</f>
        <v>4787700</v>
      </c>
      <c r="D25" s="134">
        <f>D26+D27+D28+D29+D30+D31+D32</f>
        <v>1166053</v>
      </c>
      <c r="E25" s="130">
        <f>C25-D25</f>
        <v>3621647</v>
      </c>
      <c r="F25" s="137">
        <f t="shared" si="0"/>
        <v>24.3551809846064</v>
      </c>
    </row>
    <row r="26" s="167" customFormat="1" ht="34.5" spans="1:6">
      <c r="A26" s="175" t="s">
        <v>161</v>
      </c>
      <c r="B26" s="15" t="s">
        <v>162</v>
      </c>
      <c r="C26" s="176">
        <v>4336600</v>
      </c>
      <c r="D26" s="176">
        <v>1084600</v>
      </c>
      <c r="E26" s="177">
        <f>C26-D26</f>
        <v>3252000</v>
      </c>
      <c r="F26" s="178">
        <f t="shared" si="0"/>
        <v>25.0103767928792</v>
      </c>
    </row>
    <row r="27" s="62" customFormat="1" ht="28.5" customHeight="1" spans="1:6">
      <c r="A27" s="179" t="s">
        <v>163</v>
      </c>
      <c r="B27" s="180" t="s">
        <v>164</v>
      </c>
      <c r="C27" s="181"/>
      <c r="D27" s="152"/>
      <c r="E27" s="153">
        <f>C27-D27</f>
        <v>0</v>
      </c>
      <c r="F27" s="182"/>
    </row>
    <row r="28" s="62" customFormat="1" ht="30.75" customHeight="1" spans="1:6">
      <c r="A28" s="183" t="s">
        <v>165</v>
      </c>
      <c r="B28" s="184" t="s">
        <v>166</v>
      </c>
      <c r="C28" s="185">
        <v>7600</v>
      </c>
      <c r="D28" s="152">
        <v>1900</v>
      </c>
      <c r="E28" s="153">
        <f t="shared" ref="E28:E32" si="2">C28-D28</f>
        <v>5700</v>
      </c>
      <c r="F28" s="182">
        <f>D28/C28*100</f>
        <v>25</v>
      </c>
    </row>
    <row r="29" s="62" customFormat="1" ht="30.75" customHeight="1" spans="1:6">
      <c r="A29" s="183" t="s">
        <v>167</v>
      </c>
      <c r="B29" s="184" t="s">
        <v>168</v>
      </c>
      <c r="C29" s="185">
        <v>443500</v>
      </c>
      <c r="D29" s="152">
        <v>79553</v>
      </c>
      <c r="E29" s="153">
        <f t="shared" si="2"/>
        <v>363947</v>
      </c>
      <c r="F29" s="182"/>
    </row>
    <row r="30" s="62" customFormat="1" ht="33.75" customHeight="1" spans="1:6">
      <c r="A30" s="183" t="s">
        <v>169</v>
      </c>
      <c r="B30" s="184" t="s">
        <v>170</v>
      </c>
      <c r="C30" s="185"/>
      <c r="D30" s="152"/>
      <c r="E30" s="186">
        <f t="shared" si="2"/>
        <v>0</v>
      </c>
      <c r="F30" s="182"/>
    </row>
    <row r="31" s="168" customFormat="1" ht="16.5" spans="1:6">
      <c r="A31" s="150" t="s">
        <v>171</v>
      </c>
      <c r="B31" s="187" t="s">
        <v>172</v>
      </c>
      <c r="C31" s="152">
        <v>0</v>
      </c>
      <c r="D31" s="152">
        <v>0</v>
      </c>
      <c r="E31" s="186">
        <f t="shared" si="2"/>
        <v>0</v>
      </c>
      <c r="F31" s="188"/>
    </row>
    <row r="32" s="62" customFormat="1" ht="47.25" customHeight="1" spans="1:6">
      <c r="A32" s="150" t="s">
        <v>107</v>
      </c>
      <c r="B32" s="151" t="s">
        <v>108</v>
      </c>
      <c r="C32" s="152">
        <v>0</v>
      </c>
      <c r="D32" s="152">
        <v>0</v>
      </c>
      <c r="E32" s="153">
        <f t="shared" si="2"/>
        <v>0</v>
      </c>
      <c r="F32" s="154"/>
    </row>
    <row r="33" ht="16.5" spans="1:6">
      <c r="A33" s="132" t="s">
        <v>112</v>
      </c>
      <c r="B33" s="133"/>
      <c r="C33" s="134">
        <f>C24++C25+C31+C32</f>
        <v>39629446</v>
      </c>
      <c r="D33" s="134">
        <f>D24++D25+D31+D32</f>
        <v>7915395.62</v>
      </c>
      <c r="E33" s="134">
        <f>E24++E25+E31+E32</f>
        <v>31588104.6</v>
      </c>
      <c r="F33" s="131">
        <f t="shared" si="0"/>
        <v>19.9735207502018</v>
      </c>
    </row>
    <row r="34" ht="28.5" customHeight="1" spans="1:6">
      <c r="A34" s="132" t="s">
        <v>113</v>
      </c>
      <c r="B34" s="133"/>
      <c r="C34" s="134">
        <f>C33</f>
        <v>39629446</v>
      </c>
      <c r="D34" s="174">
        <f t="shared" ref="D34:E34" si="3">D33</f>
        <v>7915395.62</v>
      </c>
      <c r="E34" s="174">
        <f t="shared" si="3"/>
        <v>31588104.6</v>
      </c>
      <c r="F34" s="131">
        <f t="shared" si="0"/>
        <v>19.9735207502018</v>
      </c>
    </row>
  </sheetData>
  <mergeCells count="17">
    <mergeCell ref="A24:B24"/>
    <mergeCell ref="A33:B33"/>
    <mergeCell ref="A34:B34"/>
    <mergeCell ref="A1:A2"/>
    <mergeCell ref="A7:A8"/>
    <mergeCell ref="A12:A13"/>
    <mergeCell ref="B1:B2"/>
    <mergeCell ref="C1:C2"/>
    <mergeCell ref="C7:C8"/>
    <mergeCell ref="C12:C13"/>
    <mergeCell ref="D1:D2"/>
    <mergeCell ref="D7:D8"/>
    <mergeCell ref="D12:D13"/>
    <mergeCell ref="E7:E8"/>
    <mergeCell ref="E12:E13"/>
    <mergeCell ref="F7:F8"/>
    <mergeCell ref="F12:F13"/>
  </mergeCells>
  <pageMargins left="0.7" right="0.7" top="0.75" bottom="0.75" header="0.3" footer="0.3"/>
  <pageSetup paperSize="9" scale="7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22" workbookViewId="0">
      <selection activeCell="D65" sqref="D65"/>
    </sheetView>
  </sheetViews>
  <sheetFormatPr defaultColWidth="9" defaultRowHeight="15" outlineLevelCol="5"/>
  <cols>
    <col min="1" max="1" width="10.5714285714286" customWidth="1"/>
    <col min="2" max="2" width="36" style="2" customWidth="1"/>
    <col min="3" max="3" width="19.7142857142857" style="3" customWidth="1"/>
    <col min="4" max="4" width="20.4285714285714" style="3" customWidth="1"/>
    <col min="5" max="5" width="17.5714285714286" style="3" customWidth="1"/>
    <col min="6" max="6" width="10.1428571428571" style="3" customWidth="1"/>
    <col min="7" max="7" width="5.71428571428571" customWidth="1"/>
  </cols>
  <sheetData>
    <row r="1" ht="64.5" spans="1:6">
      <c r="A1" s="4" t="s">
        <v>115</v>
      </c>
      <c r="B1" s="5" t="s">
        <v>116</v>
      </c>
      <c r="C1" s="6" t="s">
        <v>66</v>
      </c>
      <c r="D1" s="6" t="s">
        <v>67</v>
      </c>
      <c r="E1" s="7" t="s">
        <v>117</v>
      </c>
      <c r="F1" s="8" t="s">
        <v>118</v>
      </c>
    </row>
    <row r="2" ht="16.5" spans="1:6">
      <c r="A2" s="9">
        <v>100</v>
      </c>
      <c r="B2" s="10" t="s">
        <v>119</v>
      </c>
      <c r="C2" s="29">
        <f>SUM(C3:C8)</f>
        <v>20972946</v>
      </c>
      <c r="D2" s="29">
        <f>SUM(D3:D8)</f>
        <v>3865727.74</v>
      </c>
      <c r="E2" s="30">
        <f>D2-C2</f>
        <v>-17107218.26</v>
      </c>
      <c r="F2" s="13">
        <f>D2/C2*100</f>
        <v>18.4319729808106</v>
      </c>
    </row>
    <row r="3" ht="23.25" spans="1:6">
      <c r="A3" s="14">
        <v>102</v>
      </c>
      <c r="B3" s="15" t="s">
        <v>120</v>
      </c>
      <c r="C3" s="16">
        <f>819600+247500</f>
        <v>1067100</v>
      </c>
      <c r="D3" s="16">
        <f>231723.68+40258.42</f>
        <v>271982.1</v>
      </c>
      <c r="E3" s="30">
        <f t="shared" ref="E3:E39" si="0">D3-C3</f>
        <v>-795117.9</v>
      </c>
      <c r="F3" s="13">
        <f>D3/C3*100</f>
        <v>25.4879673882485</v>
      </c>
    </row>
    <row r="4" ht="45.75" spans="1:6">
      <c r="A4" s="14">
        <v>104</v>
      </c>
      <c r="B4" s="18" t="s">
        <v>10</v>
      </c>
      <c r="C4" s="16">
        <f>5002400+400+1510800+197300+171000+20000+15000+12000+7600</f>
        <v>6936500</v>
      </c>
      <c r="D4" s="16">
        <f>959658.81+100+232241.02+44701.62+5500+2202.88+9379.92+1900</f>
        <v>1255684.25</v>
      </c>
      <c r="E4" s="30">
        <f t="shared" si="0"/>
        <v>-5680815.75</v>
      </c>
      <c r="F4" s="13">
        <f>D4/C4*100</f>
        <v>18.1025625315361</v>
      </c>
    </row>
    <row r="5" ht="38.25" customHeight="1" spans="1:6">
      <c r="A5" s="19">
        <v>106</v>
      </c>
      <c r="B5" s="20" t="s">
        <v>152</v>
      </c>
      <c r="C5" s="16">
        <v>284000</v>
      </c>
      <c r="D5" s="16">
        <v>0</v>
      </c>
      <c r="E5" s="30">
        <f t="shared" si="0"/>
        <v>-284000</v>
      </c>
      <c r="F5" s="13">
        <f>D5/C5*100</f>
        <v>0</v>
      </c>
    </row>
    <row r="6" ht="25.5" customHeight="1" spans="1:6">
      <c r="A6" s="14">
        <v>107</v>
      </c>
      <c r="B6" s="21" t="s">
        <v>153</v>
      </c>
      <c r="C6" s="16">
        <v>890000</v>
      </c>
      <c r="D6" s="16">
        <v>0</v>
      </c>
      <c r="E6" s="30">
        <f t="shared" si="0"/>
        <v>-890000</v>
      </c>
      <c r="F6" s="13"/>
    </row>
    <row r="7" ht="16.5" spans="1:6">
      <c r="A7" s="19">
        <v>111</v>
      </c>
      <c r="B7" s="22" t="s">
        <v>12</v>
      </c>
      <c r="C7" s="16">
        <v>50000</v>
      </c>
      <c r="D7" s="16">
        <v>0</v>
      </c>
      <c r="E7" s="30">
        <f t="shared" si="0"/>
        <v>-50000</v>
      </c>
      <c r="F7" s="13">
        <f t="shared" ref="F7:F39" si="1">D7/C7*100</f>
        <v>0</v>
      </c>
    </row>
    <row r="8" ht="16.5" spans="1:6">
      <c r="A8" s="14">
        <v>113</v>
      </c>
      <c r="B8" s="15" t="s">
        <v>121</v>
      </c>
      <c r="C8" s="16">
        <f>130000+580000+420000+10000+1266200+382400+490000+136000+3000+3600+400+3614900+600+1091700+749600+2813946+25000+28000</f>
        <v>11745346</v>
      </c>
      <c r="D8" s="23">
        <f>8500+269833.45+66970.21+94272.61+12690+99.48+776339.96+100+190799.99+324855.62+579550.07+4504+9546</f>
        <v>2338061.39</v>
      </c>
      <c r="E8" s="30">
        <f t="shared" si="0"/>
        <v>-9407284.61</v>
      </c>
      <c r="F8" s="13">
        <f t="shared" si="1"/>
        <v>19.9062793893002</v>
      </c>
    </row>
    <row r="9" ht="16.5" spans="1:6">
      <c r="A9" s="9">
        <v>200</v>
      </c>
      <c r="B9" s="10" t="s">
        <v>122</v>
      </c>
      <c r="C9" s="29">
        <f>C10</f>
        <v>443500</v>
      </c>
      <c r="D9" s="29">
        <f>D10</f>
        <v>79553</v>
      </c>
      <c r="E9" s="30">
        <f t="shared" si="0"/>
        <v>-363947</v>
      </c>
      <c r="F9" s="13">
        <f t="shared" si="1"/>
        <v>17.9375422773393</v>
      </c>
    </row>
    <row r="10" ht="16.5" spans="1:6">
      <c r="A10" s="14">
        <v>203</v>
      </c>
      <c r="B10" s="15" t="s">
        <v>123</v>
      </c>
      <c r="C10" s="16">
        <f>339480+102520+1500</f>
        <v>443500</v>
      </c>
      <c r="D10" s="16">
        <f>64253+15300</f>
        <v>79553</v>
      </c>
      <c r="E10" s="30">
        <f t="shared" si="0"/>
        <v>-363947</v>
      </c>
      <c r="F10" s="13">
        <f t="shared" si="1"/>
        <v>17.9375422773393</v>
      </c>
    </row>
    <row r="11" ht="21.75" spans="1:6">
      <c r="A11" s="9">
        <v>300</v>
      </c>
      <c r="B11" s="10" t="s">
        <v>124</v>
      </c>
      <c r="C11" s="29">
        <f>SUM(C12:C13)</f>
        <v>170000</v>
      </c>
      <c r="D11" s="29">
        <f>SUM(D12:D13)</f>
        <v>34852</v>
      </c>
      <c r="E11" s="30">
        <f t="shared" si="0"/>
        <v>-135148</v>
      </c>
      <c r="F11" s="13">
        <f t="shared" si="1"/>
        <v>20.5011764705882</v>
      </c>
    </row>
    <row r="12" ht="34.5" spans="1:6">
      <c r="A12" s="14">
        <v>309</v>
      </c>
      <c r="B12" s="25" t="s">
        <v>125</v>
      </c>
      <c r="C12" s="26">
        <f>55000+25000</f>
        <v>80000</v>
      </c>
      <c r="D12" s="16">
        <v>0</v>
      </c>
      <c r="E12" s="30">
        <f t="shared" si="0"/>
        <v>-80000</v>
      </c>
      <c r="F12" s="13">
        <f t="shared" si="1"/>
        <v>0</v>
      </c>
    </row>
    <row r="13" ht="23.25" spans="1:6">
      <c r="A13" s="14">
        <v>314</v>
      </c>
      <c r="B13" s="27" t="s">
        <v>126</v>
      </c>
      <c r="C13" s="16">
        <f>70000+20000</f>
        <v>90000</v>
      </c>
      <c r="D13" s="16">
        <v>34852</v>
      </c>
      <c r="E13" s="30">
        <f t="shared" si="0"/>
        <v>-55148</v>
      </c>
      <c r="F13" s="13">
        <f t="shared" si="1"/>
        <v>38.7244444444444</v>
      </c>
    </row>
    <row r="14" ht="16.5" spans="1:6">
      <c r="A14" s="9">
        <v>400</v>
      </c>
      <c r="B14" s="28" t="s">
        <v>127</v>
      </c>
      <c r="C14" s="29">
        <f>SUM(C15:C16)</f>
        <v>6587693.44</v>
      </c>
      <c r="D14" s="29">
        <f>SUM(D15:D16)</f>
        <v>302174</v>
      </c>
      <c r="E14" s="30">
        <f t="shared" si="0"/>
        <v>-6285519.44</v>
      </c>
      <c r="F14" s="13">
        <f t="shared" si="1"/>
        <v>4.58694689958129</v>
      </c>
    </row>
    <row r="15" ht="16.5" spans="1:6">
      <c r="A15" s="14">
        <v>409</v>
      </c>
      <c r="B15" s="15" t="s">
        <v>27</v>
      </c>
      <c r="C15" s="16">
        <f>4817693.44+1000000+600000</f>
        <v>6417693.44</v>
      </c>
      <c r="D15" s="16">
        <f>199250+102924</f>
        <v>302174</v>
      </c>
      <c r="E15" s="30">
        <f t="shared" si="0"/>
        <v>-6115519.44</v>
      </c>
      <c r="F15" s="13">
        <f t="shared" si="1"/>
        <v>4.70845176425255</v>
      </c>
    </row>
    <row r="16" ht="23.25" spans="1:6">
      <c r="A16" s="14">
        <v>412</v>
      </c>
      <c r="B16" s="15" t="s">
        <v>128</v>
      </c>
      <c r="C16" s="16">
        <f>20000+150000</f>
        <v>170000</v>
      </c>
      <c r="D16" s="16"/>
      <c r="E16" s="30">
        <f t="shared" si="0"/>
        <v>-170000</v>
      </c>
      <c r="F16" s="13">
        <f t="shared" si="1"/>
        <v>0</v>
      </c>
    </row>
    <row r="17" ht="16.5" spans="1:6">
      <c r="A17" s="9">
        <v>500</v>
      </c>
      <c r="B17" s="10" t="s">
        <v>129</v>
      </c>
      <c r="C17" s="29">
        <f>SUM(C18:C19)</f>
        <v>7355000</v>
      </c>
      <c r="D17" s="29">
        <f>SUM(D18:D19)</f>
        <v>670824.2</v>
      </c>
      <c r="E17" s="30">
        <f t="shared" si="0"/>
        <v>-6684175.8</v>
      </c>
      <c r="F17" s="13">
        <f t="shared" si="1"/>
        <v>9.12065533650578</v>
      </c>
    </row>
    <row r="18" ht="16.5" spans="1:6">
      <c r="A18" s="14">
        <v>502</v>
      </c>
      <c r="B18" s="15" t="s">
        <v>31</v>
      </c>
      <c r="C18" s="16">
        <f>500000+400000+1580000</f>
        <v>2480000</v>
      </c>
      <c r="D18" s="16">
        <v>119310</v>
      </c>
      <c r="E18" s="30">
        <f t="shared" si="0"/>
        <v>-2360690</v>
      </c>
      <c r="F18" s="13">
        <f t="shared" si="1"/>
        <v>4.81088709677419</v>
      </c>
    </row>
    <row r="19" ht="16.5" spans="1:6">
      <c r="A19" s="14">
        <v>503</v>
      </c>
      <c r="B19" s="15" t="s">
        <v>33</v>
      </c>
      <c r="C19" s="16">
        <f>2400000+130000+150000+2195000</f>
        <v>4875000</v>
      </c>
      <c r="D19" s="16">
        <f>406485.2+145029</f>
        <v>551514.2</v>
      </c>
      <c r="E19" s="30">
        <f t="shared" si="0"/>
        <v>-4323485.8</v>
      </c>
      <c r="F19" s="13">
        <f t="shared" si="1"/>
        <v>11.3131117948718</v>
      </c>
    </row>
    <row r="20" ht="16.5" spans="1:6">
      <c r="A20" s="9">
        <v>700</v>
      </c>
      <c r="B20" s="10" t="s">
        <v>130</v>
      </c>
      <c r="C20" s="29">
        <f>SUM(C21:C22)</f>
        <v>180000</v>
      </c>
      <c r="D20" s="29">
        <f>SUM(D21:D22)</f>
        <v>7124</v>
      </c>
      <c r="E20" s="30">
        <f t="shared" si="0"/>
        <v>-172876</v>
      </c>
      <c r="F20" s="13">
        <f t="shared" si="1"/>
        <v>3.95777777777778</v>
      </c>
    </row>
    <row r="21" ht="16.5" spans="1:6">
      <c r="A21" s="14">
        <v>705</v>
      </c>
      <c r="B21" s="15" t="s">
        <v>174</v>
      </c>
      <c r="C21" s="16">
        <v>150000</v>
      </c>
      <c r="D21" s="16">
        <v>6000</v>
      </c>
      <c r="E21" s="24">
        <f t="shared" si="0"/>
        <v>-144000</v>
      </c>
      <c r="F21" s="13">
        <f t="shared" si="1"/>
        <v>4</v>
      </c>
    </row>
    <row r="22" ht="16.5" spans="1:6">
      <c r="A22" s="14">
        <v>707</v>
      </c>
      <c r="B22" s="15" t="s">
        <v>35</v>
      </c>
      <c r="C22" s="16">
        <f>30000</f>
        <v>30000</v>
      </c>
      <c r="D22" s="16">
        <v>1124</v>
      </c>
      <c r="E22" s="24">
        <f t="shared" si="0"/>
        <v>-28876</v>
      </c>
      <c r="F22" s="13">
        <f t="shared" si="1"/>
        <v>3.74666666666667</v>
      </c>
    </row>
    <row r="23" ht="16.5" spans="1:6">
      <c r="A23" s="9">
        <v>800</v>
      </c>
      <c r="B23" s="10" t="s">
        <v>131</v>
      </c>
      <c r="C23" s="29">
        <f>SUM(C24:C25)</f>
        <v>7348641.56</v>
      </c>
      <c r="D23" s="29">
        <f>SUM(D24:D25)</f>
        <v>1039572.03</v>
      </c>
      <c r="E23" s="30">
        <f t="shared" si="0"/>
        <v>-6309069.53</v>
      </c>
      <c r="F23" s="13">
        <f t="shared" si="1"/>
        <v>14.1464517150841</v>
      </c>
    </row>
    <row r="24" ht="16.5" spans="1:6">
      <c r="A24" s="14">
        <v>801</v>
      </c>
      <c r="B24" s="15" t="s">
        <v>132</v>
      </c>
      <c r="C24" s="16">
        <f>4176400+2652241.56+10000+110000</f>
        <v>6948641.56</v>
      </c>
      <c r="D24" s="16">
        <f>570699.42+466502.61</f>
        <v>1037202.03</v>
      </c>
      <c r="E24" s="30">
        <f t="shared" si="0"/>
        <v>-5911439.53</v>
      </c>
      <c r="F24" s="13">
        <f t="shared" si="1"/>
        <v>14.926687771185</v>
      </c>
    </row>
    <row r="25" ht="16.5" spans="1:6">
      <c r="A25" s="14">
        <v>804</v>
      </c>
      <c r="B25" s="15" t="s">
        <v>133</v>
      </c>
      <c r="C25" s="16">
        <v>400000</v>
      </c>
      <c r="D25" s="16">
        <v>2370</v>
      </c>
      <c r="E25" s="30">
        <f t="shared" si="0"/>
        <v>-397630</v>
      </c>
      <c r="F25" s="13">
        <f t="shared" si="1"/>
        <v>0.5925</v>
      </c>
    </row>
    <row r="26" ht="16.5" hidden="1" spans="1:6">
      <c r="A26" s="9">
        <v>1000</v>
      </c>
      <c r="B26" s="10" t="s">
        <v>134</v>
      </c>
      <c r="C26" s="29">
        <f>C27</f>
        <v>0</v>
      </c>
      <c r="D26" s="29">
        <f>D27</f>
        <v>0</v>
      </c>
      <c r="E26" s="30">
        <f t="shared" si="0"/>
        <v>0</v>
      </c>
      <c r="F26" s="13" t="e">
        <f t="shared" si="1"/>
        <v>#DIV/0!</v>
      </c>
    </row>
    <row r="27" ht="16.5" hidden="1" spans="1:6">
      <c r="A27" s="14">
        <v>1003</v>
      </c>
      <c r="B27" s="15" t="s">
        <v>135</v>
      </c>
      <c r="C27" s="16">
        <v>0</v>
      </c>
      <c r="D27" s="16">
        <v>0</v>
      </c>
      <c r="E27" s="30">
        <f t="shared" si="0"/>
        <v>0</v>
      </c>
      <c r="F27" s="13" t="e">
        <f t="shared" si="1"/>
        <v>#DIV/0!</v>
      </c>
    </row>
    <row r="28" ht="16.5" spans="1:6">
      <c r="A28" s="9">
        <v>1100</v>
      </c>
      <c r="B28" s="10" t="s">
        <v>136</v>
      </c>
      <c r="C28" s="29">
        <f>C29+C30</f>
        <v>3508800</v>
      </c>
      <c r="D28" s="29">
        <f>D29+D30</f>
        <v>1087579.05</v>
      </c>
      <c r="E28" s="30">
        <f t="shared" si="0"/>
        <v>-2421220.95</v>
      </c>
      <c r="F28" s="13">
        <f t="shared" si="1"/>
        <v>30.9957549589603</v>
      </c>
    </row>
    <row r="29" ht="16.5" spans="1:6">
      <c r="A29" s="14">
        <v>1101</v>
      </c>
      <c r="B29" s="15" t="s">
        <v>137</v>
      </c>
      <c r="C29" s="16">
        <v>1138800</v>
      </c>
      <c r="D29" s="16">
        <v>370940.05</v>
      </c>
      <c r="E29" s="30">
        <f t="shared" si="0"/>
        <v>-767859.95</v>
      </c>
      <c r="F29" s="13">
        <f t="shared" si="1"/>
        <v>32.5728881278539</v>
      </c>
    </row>
    <row r="30" ht="16.5" customHeight="1" spans="1:6">
      <c r="A30" s="14">
        <v>1102</v>
      </c>
      <c r="B30" s="15" t="s">
        <v>150</v>
      </c>
      <c r="C30" s="32">
        <v>2370000</v>
      </c>
      <c r="D30" s="32">
        <v>716639</v>
      </c>
      <c r="E30" s="30">
        <f t="shared" si="0"/>
        <v>-1653361</v>
      </c>
      <c r="F30" s="13">
        <f t="shared" si="1"/>
        <v>30.2379324894515</v>
      </c>
    </row>
    <row r="31" ht="16.5" spans="1:6">
      <c r="A31" s="55">
        <v>1200</v>
      </c>
      <c r="B31" s="162" t="s">
        <v>138</v>
      </c>
      <c r="C31" s="163">
        <v>0</v>
      </c>
      <c r="D31" s="163">
        <v>0</v>
      </c>
      <c r="E31" s="30">
        <f t="shared" si="0"/>
        <v>0</v>
      </c>
      <c r="F31" s="13"/>
    </row>
    <row r="32" ht="23.25" spans="1:6">
      <c r="A32" s="164">
        <v>1204</v>
      </c>
      <c r="B32" s="22" t="s">
        <v>151</v>
      </c>
      <c r="C32" s="165">
        <v>80000</v>
      </c>
      <c r="D32" s="166">
        <v>6796.8</v>
      </c>
      <c r="E32" s="30">
        <f t="shared" si="0"/>
        <v>-73203.2</v>
      </c>
      <c r="F32" s="13">
        <f t="shared" si="1"/>
        <v>8.496</v>
      </c>
    </row>
    <row r="33" ht="23.25" hidden="1" spans="1:6">
      <c r="A33" s="164">
        <v>1300</v>
      </c>
      <c r="B33" s="22" t="s">
        <v>154</v>
      </c>
      <c r="C33" s="33">
        <v>0</v>
      </c>
      <c r="D33" s="45"/>
      <c r="E33" s="30"/>
      <c r="F33" s="13"/>
    </row>
    <row r="34" ht="23.25" hidden="1" spans="1:6">
      <c r="A34" s="47">
        <v>1301</v>
      </c>
      <c r="B34" s="48" t="s">
        <v>154</v>
      </c>
      <c r="C34" s="49">
        <v>0</v>
      </c>
      <c r="D34" s="49">
        <v>0</v>
      </c>
      <c r="E34" s="30">
        <f t="shared" si="0"/>
        <v>0</v>
      </c>
      <c r="F34" s="13" t="e">
        <f t="shared" si="1"/>
        <v>#DIV/0!</v>
      </c>
    </row>
    <row r="35" ht="16.5" hidden="1" spans="1:6">
      <c r="A35" s="50" t="s">
        <v>140</v>
      </c>
      <c r="B35" s="51" t="s">
        <v>141</v>
      </c>
      <c r="C35" s="52">
        <f>C37</f>
        <v>0</v>
      </c>
      <c r="D35" s="53">
        <f>D37</f>
        <v>0</v>
      </c>
      <c r="E35" s="30">
        <f t="shared" si="0"/>
        <v>0</v>
      </c>
      <c r="F35" s="13" t="e">
        <f t="shared" si="1"/>
        <v>#DIV/0!</v>
      </c>
    </row>
    <row r="36" ht="16.5" hidden="1" spans="1:6">
      <c r="A36" s="9"/>
      <c r="B36" s="10" t="s">
        <v>142</v>
      </c>
      <c r="C36" s="54"/>
      <c r="D36" s="54"/>
      <c r="E36" s="30">
        <f t="shared" si="0"/>
        <v>0</v>
      </c>
      <c r="F36" s="13"/>
    </row>
    <row r="37" ht="16.5" hidden="1" spans="1:6">
      <c r="A37" s="55" t="s">
        <v>143</v>
      </c>
      <c r="B37" s="56" t="s">
        <v>144</v>
      </c>
      <c r="C37" s="57">
        <v>0</v>
      </c>
      <c r="D37" s="57">
        <v>0</v>
      </c>
      <c r="E37" s="30">
        <f t="shared" si="0"/>
        <v>0</v>
      </c>
      <c r="F37" s="13" t="e">
        <f t="shared" si="1"/>
        <v>#DIV/0!</v>
      </c>
    </row>
    <row r="38" ht="16.5" hidden="1" spans="1:6">
      <c r="A38" s="14"/>
      <c r="B38" s="15" t="s">
        <v>145</v>
      </c>
      <c r="C38" s="26"/>
      <c r="D38" s="26"/>
      <c r="E38" s="30">
        <f t="shared" si="0"/>
        <v>0</v>
      </c>
      <c r="F38" s="13"/>
    </row>
    <row r="39" ht="16.5" spans="1:6">
      <c r="A39" s="9">
        <v>9800</v>
      </c>
      <c r="B39" s="10" t="s">
        <v>146</v>
      </c>
      <c r="C39" s="29">
        <f>C35+C31+C28+C26+C23+C20+C17+C14+C11+C9+C2+C33+C32</f>
        <v>46646581</v>
      </c>
      <c r="D39" s="29">
        <f>D35+D31+D28+D26+D23+D20+D17+D14+D11+D9+D2+D32</f>
        <v>7094202.82</v>
      </c>
      <c r="E39" s="30">
        <f t="shared" si="0"/>
        <v>-39552378.18</v>
      </c>
      <c r="F39" s="13">
        <f t="shared" si="1"/>
        <v>15.2084089935766</v>
      </c>
    </row>
  </sheetData>
  <mergeCells count="6">
    <mergeCell ref="A35:A36"/>
    <mergeCell ref="A37:A38"/>
    <mergeCell ref="C35:C36"/>
    <mergeCell ref="C37:C38"/>
    <mergeCell ref="D35:D36"/>
    <mergeCell ref="D37:D38"/>
  </mergeCells>
  <pageMargins left="0.7" right="0.7" top="0.75" bottom="0.75" header="0.3" footer="0.3"/>
  <pageSetup paperSize="9" scale="7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26" workbookViewId="0">
      <selection activeCell="C6" sqref="C6"/>
    </sheetView>
  </sheetViews>
  <sheetFormatPr defaultColWidth="9" defaultRowHeight="15" outlineLevelCol="5"/>
  <cols>
    <col min="1" max="1" width="19.4285714285714" customWidth="1"/>
    <col min="2" max="2" width="32.1428571428571" style="2" customWidth="1"/>
    <col min="3" max="3" width="21.2857142857143" style="63" customWidth="1"/>
    <col min="4" max="4" width="19.5714285714286" style="3" customWidth="1"/>
    <col min="5" max="5" width="17.5714285714286" style="3" customWidth="1"/>
    <col min="6" max="6" width="11.7142857142857" customWidth="1"/>
  </cols>
  <sheetData>
    <row r="1" ht="60.75" customHeight="1" spans="1:6">
      <c r="A1" s="64" t="s">
        <v>64</v>
      </c>
      <c r="B1" s="65" t="s">
        <v>65</v>
      </c>
      <c r="C1" s="66" t="s">
        <v>66</v>
      </c>
      <c r="D1" s="67" t="s">
        <v>67</v>
      </c>
      <c r="E1" s="68" t="s">
        <v>68</v>
      </c>
      <c r="F1" s="69" t="s">
        <v>69</v>
      </c>
    </row>
    <row r="2" ht="15.75" spans="1:6">
      <c r="A2" s="70"/>
      <c r="B2" s="71"/>
      <c r="C2" s="72"/>
      <c r="D2" s="73"/>
      <c r="E2" s="74" t="s">
        <v>70</v>
      </c>
      <c r="F2" s="69"/>
    </row>
    <row r="3" s="58" customFormat="1" ht="41.25" hidden="1" customHeight="1" spans="1:6">
      <c r="A3" s="75" t="s">
        <v>175</v>
      </c>
      <c r="B3" s="76" t="s">
        <v>156</v>
      </c>
      <c r="C3" s="77">
        <v>0</v>
      </c>
      <c r="D3" s="78">
        <v>0</v>
      </c>
      <c r="E3" s="79">
        <v>0</v>
      </c>
      <c r="F3" s="80" t="e">
        <f>D3/C3*100</f>
        <v>#DIV/0!</v>
      </c>
    </row>
    <row r="4" hidden="1"/>
    <row r="5" s="59" customFormat="1" ht="130.5" customHeight="1" spans="1:6">
      <c r="A5" s="81" t="s">
        <v>176</v>
      </c>
      <c r="B5" s="82" t="s">
        <v>177</v>
      </c>
      <c r="C5" s="83">
        <v>4050000</v>
      </c>
      <c r="D5" s="84">
        <v>728056.4</v>
      </c>
      <c r="E5" s="85">
        <f>C5-D5</f>
        <v>3321943.6</v>
      </c>
      <c r="F5" s="86">
        <f t="shared" ref="F5:F14" si="0">D5/C5*100</f>
        <v>17.9767012345679</v>
      </c>
    </row>
    <row r="6" s="59" customFormat="1" ht="149.25" customHeight="1" spans="1:6">
      <c r="A6" s="81" t="s">
        <v>178</v>
      </c>
      <c r="B6" s="82" t="s">
        <v>179</v>
      </c>
      <c r="C6" s="83">
        <v>32000</v>
      </c>
      <c r="D6" s="84">
        <v>4746.18</v>
      </c>
      <c r="E6" s="85">
        <f t="shared" ref="E6:E14" si="1">C6-D6</f>
        <v>27253.82</v>
      </c>
      <c r="F6" s="86">
        <f t="shared" si="0"/>
        <v>14.8318125</v>
      </c>
    </row>
    <row r="7" s="59" customFormat="1" ht="149.25" customHeight="1" spans="1:6">
      <c r="A7" s="81" t="s">
        <v>180</v>
      </c>
      <c r="B7" s="82" t="s">
        <v>181</v>
      </c>
      <c r="C7" s="83">
        <v>3800000</v>
      </c>
      <c r="D7" s="84">
        <v>1021865.88</v>
      </c>
      <c r="E7" s="85">
        <f t="shared" si="1"/>
        <v>2778134.12</v>
      </c>
      <c r="F7" s="86">
        <f t="shared" si="0"/>
        <v>26.8912073684211</v>
      </c>
    </row>
    <row r="8" s="59" customFormat="1" ht="149.25" customHeight="1" spans="1:6">
      <c r="A8" s="81" t="s">
        <v>182</v>
      </c>
      <c r="B8" s="82" t="s">
        <v>183</v>
      </c>
      <c r="C8" s="83">
        <v>0</v>
      </c>
      <c r="D8" s="84">
        <v>-150385.15</v>
      </c>
      <c r="E8" s="85"/>
      <c r="F8" s="86" t="e">
        <f t="shared" si="0"/>
        <v>#DIV/0!</v>
      </c>
    </row>
    <row r="9" s="59" customFormat="1" ht="38.25" customHeight="1" spans="1:6">
      <c r="A9" s="81" t="s">
        <v>71</v>
      </c>
      <c r="B9" s="82" t="s">
        <v>72</v>
      </c>
      <c r="C9" s="83">
        <v>13040000</v>
      </c>
      <c r="D9" s="84">
        <v>2286719.77</v>
      </c>
      <c r="E9" s="85">
        <f t="shared" si="1"/>
        <v>10753280.23</v>
      </c>
      <c r="F9" s="86">
        <f t="shared" si="0"/>
        <v>17.5361945552147</v>
      </c>
    </row>
    <row r="10" s="59" customFormat="1" ht="108" customHeight="1" spans="1:6">
      <c r="A10" s="81" t="s">
        <v>184</v>
      </c>
      <c r="B10" s="82" t="s">
        <v>185</v>
      </c>
      <c r="C10" s="83">
        <v>0</v>
      </c>
      <c r="D10" s="84">
        <v>12678.69</v>
      </c>
      <c r="E10" s="85"/>
      <c r="F10" s="86" t="e">
        <f t="shared" si="0"/>
        <v>#DIV/0!</v>
      </c>
    </row>
    <row r="11" s="59" customFormat="1" ht="33" customHeight="1" spans="1:6">
      <c r="A11" s="81" t="s">
        <v>186</v>
      </c>
      <c r="B11" s="82" t="s">
        <v>187</v>
      </c>
      <c r="C11" s="83">
        <v>0</v>
      </c>
      <c r="D11" s="84">
        <v>-33047.71</v>
      </c>
      <c r="E11" s="85"/>
      <c r="F11" s="86" t="e">
        <f t="shared" si="0"/>
        <v>#DIV/0!</v>
      </c>
    </row>
    <row r="12" s="59" customFormat="1" ht="88.5" customHeight="1" spans="1:6">
      <c r="A12" s="89" t="s">
        <v>188</v>
      </c>
      <c r="B12" s="90" t="s">
        <v>189</v>
      </c>
      <c r="C12" s="91">
        <v>0</v>
      </c>
      <c r="D12" s="92">
        <v>30871</v>
      </c>
      <c r="E12" s="85"/>
      <c r="F12" s="161" t="e">
        <f t="shared" si="0"/>
        <v>#DIV/0!</v>
      </c>
    </row>
    <row r="13" s="59" customFormat="1" ht="25.5" customHeight="1" spans="1:6">
      <c r="A13" s="95" t="s">
        <v>190</v>
      </c>
      <c r="B13" s="96" t="s">
        <v>74</v>
      </c>
      <c r="C13" s="97">
        <v>1878000</v>
      </c>
      <c r="D13" s="98">
        <v>1765455.5</v>
      </c>
      <c r="E13" s="85">
        <f t="shared" si="1"/>
        <v>112544.5</v>
      </c>
      <c r="F13" s="86">
        <f t="shared" si="0"/>
        <v>94.0072151224707</v>
      </c>
    </row>
    <row r="14" s="59" customFormat="1" ht="19.5" customHeight="1" spans="1:6">
      <c r="A14" s="95" t="s">
        <v>75</v>
      </c>
      <c r="B14" s="96" t="s">
        <v>76</v>
      </c>
      <c r="C14" s="97">
        <v>5546800</v>
      </c>
      <c r="D14" s="98">
        <v>319708.85</v>
      </c>
      <c r="E14" s="85">
        <f t="shared" si="1"/>
        <v>5227091.15</v>
      </c>
      <c r="F14" s="86">
        <f t="shared" si="0"/>
        <v>5.763843116752</v>
      </c>
    </row>
    <row r="15" s="59" customFormat="1" ht="13.5" customHeight="1" spans="1:6">
      <c r="A15" s="104" t="s">
        <v>77</v>
      </c>
      <c r="B15" s="96" t="s">
        <v>191</v>
      </c>
      <c r="C15" s="105">
        <f>SUM(C17:C18)</f>
        <v>9568000</v>
      </c>
      <c r="D15" s="106">
        <f>SUM(D17:D18)</f>
        <v>1019817.84</v>
      </c>
      <c r="E15" s="106">
        <f>SUM(E17:E18)</f>
        <v>8548182.16</v>
      </c>
      <c r="F15" s="86">
        <f t="shared" ref="F15:F43" si="2">D15/C15*100</f>
        <v>10.658631270903</v>
      </c>
    </row>
    <row r="16" s="59" customFormat="1" ht="13.5" hidden="1" customHeight="1" spans="1:6">
      <c r="A16" s="107"/>
      <c r="B16" s="82" t="s">
        <v>79</v>
      </c>
      <c r="C16" s="108"/>
      <c r="D16" s="109"/>
      <c r="E16" s="109"/>
      <c r="F16" s="110"/>
    </row>
    <row r="17" s="59" customFormat="1" ht="47.25" customHeight="1" spans="1:6">
      <c r="A17" s="81" t="s">
        <v>157</v>
      </c>
      <c r="B17" s="111" t="s">
        <v>158</v>
      </c>
      <c r="C17" s="112">
        <v>4160000</v>
      </c>
      <c r="D17" s="113">
        <v>731322.4</v>
      </c>
      <c r="E17" s="85">
        <f>C17-D17</f>
        <v>3428677.6</v>
      </c>
      <c r="F17" s="86">
        <f t="shared" si="2"/>
        <v>17.5798653846154</v>
      </c>
    </row>
    <row r="18" s="59" customFormat="1" ht="45.75" spans="1:6">
      <c r="A18" s="81" t="s">
        <v>159</v>
      </c>
      <c r="B18" s="111" t="s">
        <v>160</v>
      </c>
      <c r="C18" s="112">
        <v>5408000</v>
      </c>
      <c r="D18" s="113">
        <v>288495.44</v>
      </c>
      <c r="E18" s="85">
        <f>C18-D18</f>
        <v>5119504.56</v>
      </c>
      <c r="F18" s="86">
        <f t="shared" si="2"/>
        <v>5.3346050295858</v>
      </c>
    </row>
    <row r="19" ht="23.25" spans="1:6">
      <c r="A19" s="114" t="s">
        <v>147</v>
      </c>
      <c r="B19" s="115" t="s">
        <v>85</v>
      </c>
      <c r="C19" s="116">
        <v>0</v>
      </c>
      <c r="D19" s="117" t="s">
        <v>192</v>
      </c>
      <c r="E19" s="130"/>
      <c r="F19" s="131"/>
    </row>
    <row r="20" ht="21" spans="1:6">
      <c r="A20" s="118" t="s">
        <v>86</v>
      </c>
      <c r="B20" s="119" t="s">
        <v>87</v>
      </c>
      <c r="C20" s="120">
        <f>SUM(C22:C24)</f>
        <v>0</v>
      </c>
      <c r="D20" s="121">
        <v>0</v>
      </c>
      <c r="E20" s="121">
        <f>SUM(E22:E24)</f>
        <v>0</v>
      </c>
      <c r="F20" s="156"/>
    </row>
    <row r="21" ht="15.75" customHeight="1" spans="1:6">
      <c r="A21" s="114"/>
      <c r="B21" s="122" t="s">
        <v>79</v>
      </c>
      <c r="C21" s="123"/>
      <c r="D21" s="124"/>
      <c r="E21" s="157"/>
      <c r="F21" s="158"/>
    </row>
    <row r="22" ht="38.25" customHeight="1" spans="1:6">
      <c r="A22" s="114" t="s">
        <v>88</v>
      </c>
      <c r="B22" s="115" t="s">
        <v>89</v>
      </c>
      <c r="C22" s="116">
        <v>0</v>
      </c>
      <c r="D22" s="125">
        <v>0</v>
      </c>
      <c r="E22" s="159">
        <f t="shared" ref="E22:E32" si="3">C22-D22</f>
        <v>0</v>
      </c>
      <c r="F22" s="131"/>
    </row>
    <row r="23" ht="48" customHeight="1" spans="1:6">
      <c r="A23" s="114" t="s">
        <v>90</v>
      </c>
      <c r="B23" s="115" t="s">
        <v>91</v>
      </c>
      <c r="C23" s="116">
        <v>0</v>
      </c>
      <c r="D23" s="126">
        <v>0</v>
      </c>
      <c r="E23" s="130">
        <f t="shared" si="3"/>
        <v>0</v>
      </c>
      <c r="F23" s="131"/>
    </row>
    <row r="24" ht="43.5" customHeight="1" spans="1:6">
      <c r="A24" s="114" t="s">
        <v>92</v>
      </c>
      <c r="B24" s="115" t="s">
        <v>93</v>
      </c>
      <c r="C24" s="116">
        <v>0</v>
      </c>
      <c r="D24" s="113">
        <v>0</v>
      </c>
      <c r="E24" s="130">
        <f t="shared" si="3"/>
        <v>0</v>
      </c>
      <c r="F24" s="131"/>
    </row>
    <row r="25" s="59" customFormat="1" ht="36" customHeight="1" spans="1:6">
      <c r="A25" s="81" t="s">
        <v>94</v>
      </c>
      <c r="B25" s="82" t="s">
        <v>95</v>
      </c>
      <c r="C25" s="83">
        <v>61204</v>
      </c>
      <c r="D25" s="84">
        <v>16692</v>
      </c>
      <c r="E25" s="85">
        <f t="shared" si="3"/>
        <v>44512</v>
      </c>
      <c r="F25" s="86">
        <f t="shared" si="2"/>
        <v>27.2727272727273</v>
      </c>
    </row>
    <row r="26" s="59" customFormat="1" ht="85.5" customHeight="1" spans="1:6">
      <c r="A26" s="81" t="s">
        <v>193</v>
      </c>
      <c r="B26" s="82" t="s">
        <v>194</v>
      </c>
      <c r="C26" s="83">
        <v>0</v>
      </c>
      <c r="D26" s="84">
        <v>8000</v>
      </c>
      <c r="E26" s="85">
        <v>0</v>
      </c>
      <c r="F26" s="86" t="e">
        <f t="shared" si="2"/>
        <v>#DIV/0!</v>
      </c>
    </row>
    <row r="27" s="59" customFormat="1" ht="83.25" customHeight="1" spans="1:6">
      <c r="A27" s="81" t="s">
        <v>195</v>
      </c>
      <c r="B27" s="82" t="s">
        <v>196</v>
      </c>
      <c r="C27" s="83">
        <v>10000</v>
      </c>
      <c r="D27" s="84">
        <v>0</v>
      </c>
      <c r="E27" s="85">
        <v>10000</v>
      </c>
      <c r="F27" s="86">
        <f t="shared" si="2"/>
        <v>0</v>
      </c>
    </row>
    <row r="28" ht="55.5" customHeight="1" spans="1:6">
      <c r="A28" s="114" t="s">
        <v>98</v>
      </c>
      <c r="B28" s="127" t="s">
        <v>99</v>
      </c>
      <c r="C28" s="128" t="s">
        <v>192</v>
      </c>
      <c r="D28" s="129" t="s">
        <v>192</v>
      </c>
      <c r="E28" s="130" t="s">
        <v>192</v>
      </c>
      <c r="F28" s="131" t="e">
        <f t="shared" si="2"/>
        <v>#VALUE!</v>
      </c>
    </row>
    <row r="29" ht="24.75" customHeight="1" spans="1:6">
      <c r="A29" s="114" t="s">
        <v>100</v>
      </c>
      <c r="B29" s="127" t="s">
        <v>101</v>
      </c>
      <c r="C29" s="128">
        <v>0</v>
      </c>
      <c r="D29" s="129">
        <v>0</v>
      </c>
      <c r="E29" s="130">
        <f t="shared" si="3"/>
        <v>0</v>
      </c>
      <c r="F29" s="131"/>
    </row>
    <row r="30" ht="28.5" customHeight="1" spans="1:6">
      <c r="A30" s="114" t="s">
        <v>148</v>
      </c>
      <c r="B30" s="127" t="s">
        <v>149</v>
      </c>
      <c r="C30" s="128">
        <v>0</v>
      </c>
      <c r="D30" s="129">
        <v>0</v>
      </c>
      <c r="E30" s="130">
        <f t="shared" si="3"/>
        <v>0</v>
      </c>
      <c r="F30" s="131"/>
    </row>
    <row r="31" ht="33.75" customHeight="1" spans="1:6">
      <c r="A31" s="114" t="s">
        <v>103</v>
      </c>
      <c r="B31" s="127" t="s">
        <v>104</v>
      </c>
      <c r="C31" s="128">
        <v>0</v>
      </c>
      <c r="D31" s="129">
        <v>0</v>
      </c>
      <c r="E31" s="130">
        <f t="shared" si="3"/>
        <v>0</v>
      </c>
      <c r="F31" s="131"/>
    </row>
    <row r="32" ht="37.5" customHeight="1" spans="1:6">
      <c r="A32" s="114" t="s">
        <v>105</v>
      </c>
      <c r="B32" s="127" t="s">
        <v>106</v>
      </c>
      <c r="C32" s="128">
        <v>0</v>
      </c>
      <c r="D32" s="129">
        <v>0</v>
      </c>
      <c r="E32" s="130">
        <f t="shared" si="3"/>
        <v>0</v>
      </c>
      <c r="F32" s="131"/>
    </row>
    <row r="33" ht="15.75" customHeight="1" spans="1:6">
      <c r="A33" s="132" t="s">
        <v>109</v>
      </c>
      <c r="B33" s="133"/>
      <c r="C33" s="134">
        <f>C9+C5+C6+C7+C8+C10+C11+C13+C14+C15+C25+C26+C27</f>
        <v>37986004</v>
      </c>
      <c r="D33" s="134">
        <f>D9+D5+D6+D7+D8+D10+D11+D13+D14+D15+D25+D26+D27+D12</f>
        <v>7031179.25</v>
      </c>
      <c r="E33" s="134">
        <f>E9+E5+E6+E7+E8+E10+E11+E13+E14+E15+E25+E26+E27+E12</f>
        <v>30822941.58</v>
      </c>
      <c r="F33" s="131">
        <f t="shared" si="2"/>
        <v>18.5099207855609</v>
      </c>
    </row>
    <row r="34" s="60" customFormat="1" ht="16.5" spans="1:6">
      <c r="A34" s="135" t="s">
        <v>197</v>
      </c>
      <c r="B34" s="10" t="s">
        <v>198</v>
      </c>
      <c r="C34" s="136">
        <f>C35+C36+C37+C38</f>
        <v>21772000</v>
      </c>
      <c r="D34" s="134">
        <f>D35+D36+D37+D38+D39+D40+D41</f>
        <v>2140373.48</v>
      </c>
      <c r="E34" s="134">
        <f>E35+E36+E37+E38+E39+E40+E41</f>
        <v>19731626.52</v>
      </c>
      <c r="F34" s="137">
        <f t="shared" si="2"/>
        <v>9.83085375711924</v>
      </c>
    </row>
    <row r="35" s="61" customFormat="1" ht="34.5" spans="1:6">
      <c r="A35" s="138" t="s">
        <v>199</v>
      </c>
      <c r="B35" s="111" t="s">
        <v>200</v>
      </c>
      <c r="C35" s="139">
        <v>7832000</v>
      </c>
      <c r="D35" s="112">
        <v>1958000</v>
      </c>
      <c r="E35" s="140">
        <f>C35-D35</f>
        <v>5874000</v>
      </c>
      <c r="F35" s="141">
        <f t="shared" si="2"/>
        <v>25</v>
      </c>
    </row>
    <row r="36" s="61" customFormat="1" ht="28.5" customHeight="1" spans="1:6">
      <c r="A36" s="142" t="s">
        <v>201</v>
      </c>
      <c r="B36" s="143" t="s">
        <v>164</v>
      </c>
      <c r="C36" s="144">
        <v>13507700</v>
      </c>
      <c r="D36" s="112"/>
      <c r="E36" s="140">
        <f>C36-D36</f>
        <v>13507700</v>
      </c>
      <c r="F36" s="141">
        <f t="shared" si="2"/>
        <v>0</v>
      </c>
    </row>
    <row r="37" s="61" customFormat="1" ht="30.75" customHeight="1" spans="1:6">
      <c r="A37" s="145" t="s">
        <v>202</v>
      </c>
      <c r="B37" s="146" t="s">
        <v>166</v>
      </c>
      <c r="C37" s="147">
        <v>7600</v>
      </c>
      <c r="D37" s="112">
        <v>0</v>
      </c>
      <c r="E37" s="140">
        <f t="shared" ref="E37:E38" si="4">C37-D37</f>
        <v>7600</v>
      </c>
      <c r="F37" s="148">
        <f t="shared" si="2"/>
        <v>0</v>
      </c>
    </row>
    <row r="38" s="61" customFormat="1" ht="30.75" customHeight="1" spans="1:6">
      <c r="A38" s="145" t="s">
        <v>203</v>
      </c>
      <c r="B38" s="146" t="s">
        <v>168</v>
      </c>
      <c r="C38" s="147">
        <v>424700</v>
      </c>
      <c r="D38" s="112">
        <v>82373.48</v>
      </c>
      <c r="E38" s="140">
        <f t="shared" si="4"/>
        <v>342326.52</v>
      </c>
      <c r="F38" s="148">
        <f t="shared" si="2"/>
        <v>19.3956863668472</v>
      </c>
    </row>
    <row r="39" s="61" customFormat="1" ht="33.75" customHeight="1" spans="1:6">
      <c r="A39" s="145" t="s">
        <v>169</v>
      </c>
      <c r="B39" s="146" t="s">
        <v>170</v>
      </c>
      <c r="C39" s="149"/>
      <c r="D39" s="112"/>
      <c r="E39" s="85"/>
      <c r="F39" s="148" t="e">
        <f t="shared" ref="F39:F40" si="5">D39/C39*100</f>
        <v>#DIV/0!</v>
      </c>
    </row>
    <row r="40" s="59" customFormat="1" ht="16.5" spans="1:6">
      <c r="A40" s="81" t="s">
        <v>204</v>
      </c>
      <c r="B40" s="111" t="s">
        <v>172</v>
      </c>
      <c r="C40" s="112">
        <v>0</v>
      </c>
      <c r="D40" s="112">
        <v>100000</v>
      </c>
      <c r="E40" s="85">
        <v>0</v>
      </c>
      <c r="F40" s="148" t="e">
        <f t="shared" si="5"/>
        <v>#DIV/0!</v>
      </c>
    </row>
    <row r="41" s="62" customFormat="1" ht="47.25" customHeight="1" spans="1:6">
      <c r="A41" s="150" t="s">
        <v>107</v>
      </c>
      <c r="B41" s="151" t="s">
        <v>108</v>
      </c>
      <c r="C41" s="152">
        <v>0</v>
      </c>
      <c r="D41" s="152">
        <v>0</v>
      </c>
      <c r="E41" s="153">
        <f>C41-D41</f>
        <v>0</v>
      </c>
      <c r="F41" s="154"/>
    </row>
    <row r="42" ht="16.5" spans="1:6">
      <c r="A42" s="132" t="s">
        <v>112</v>
      </c>
      <c r="B42" s="133"/>
      <c r="C42" s="134">
        <f>C34</f>
        <v>21772000</v>
      </c>
      <c r="D42" s="134">
        <f>D34</f>
        <v>2140373.48</v>
      </c>
      <c r="E42" s="134">
        <f>E34</f>
        <v>19731626.52</v>
      </c>
      <c r="F42" s="131">
        <f t="shared" si="2"/>
        <v>9.83085375711924</v>
      </c>
    </row>
    <row r="43" ht="28.5" customHeight="1" spans="1:6">
      <c r="A43" s="132" t="s">
        <v>113</v>
      </c>
      <c r="B43" s="133"/>
      <c r="C43" s="134">
        <f>C33+C42</f>
        <v>59758004</v>
      </c>
      <c r="D43" s="134">
        <f>D33+D42</f>
        <v>9171552.73</v>
      </c>
      <c r="E43" s="134">
        <f>E33+E42</f>
        <v>50554568.1</v>
      </c>
      <c r="F43" s="131">
        <f t="shared" si="2"/>
        <v>15.3478230799007</v>
      </c>
    </row>
  </sheetData>
  <mergeCells count="12">
    <mergeCell ref="A33:B33"/>
    <mergeCell ref="A42:B42"/>
    <mergeCell ref="A43:B43"/>
    <mergeCell ref="A1:A2"/>
    <mergeCell ref="A20:A21"/>
    <mergeCell ref="B1:B2"/>
    <mergeCell ref="C1:C2"/>
    <mergeCell ref="C20:C21"/>
    <mergeCell ref="D1:D2"/>
    <mergeCell ref="D20:D21"/>
    <mergeCell ref="E20:E21"/>
    <mergeCell ref="F20:F21"/>
  </mergeCells>
  <pageMargins left="0.708661417322835" right="0.708661417322835" top="0.748031496062992" bottom="0.748031496062992" header="0.31496062992126" footer="0.31496062992126"/>
  <pageSetup paperSize="9" scale="10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D45" sqref="D45"/>
    </sheetView>
  </sheetViews>
  <sheetFormatPr defaultColWidth="9" defaultRowHeight="15" outlineLevelCol="5"/>
  <cols>
    <col min="1" max="1" width="10.5714285714286" customWidth="1"/>
    <col min="2" max="2" width="36" style="2" customWidth="1"/>
    <col min="3" max="3" width="19.7142857142857" style="3" customWidth="1"/>
    <col min="4" max="4" width="20.4285714285714" style="3" customWidth="1"/>
    <col min="5" max="5" width="17.5714285714286" style="3" customWidth="1"/>
    <col min="6" max="6" width="10.1428571428571" style="3" customWidth="1"/>
    <col min="7" max="7" width="5.71428571428571" customWidth="1"/>
  </cols>
  <sheetData>
    <row r="1" ht="64.5" spans="1:6">
      <c r="A1" s="4" t="s">
        <v>115</v>
      </c>
      <c r="B1" s="5" t="s">
        <v>116</v>
      </c>
      <c r="C1" s="6" t="s">
        <v>66</v>
      </c>
      <c r="D1" s="6" t="s">
        <v>67</v>
      </c>
      <c r="E1" s="7" t="s">
        <v>117</v>
      </c>
      <c r="F1" s="8" t="s">
        <v>118</v>
      </c>
    </row>
    <row r="2" ht="16.5" spans="1:6">
      <c r="A2" s="9">
        <v>100</v>
      </c>
      <c r="B2" s="10" t="s">
        <v>119</v>
      </c>
      <c r="C2" s="29">
        <f>SUM(C3:C8)</f>
        <v>23553853.37</v>
      </c>
      <c r="D2" s="29">
        <f>SUM(D3:D8)</f>
        <v>3708578.7</v>
      </c>
      <c r="E2" s="30">
        <f>C2-D2</f>
        <v>19845274.67</v>
      </c>
      <c r="F2" s="13">
        <f>D2/C2*100</f>
        <v>15.7451039613057</v>
      </c>
    </row>
    <row r="3" ht="23.25" spans="1:6">
      <c r="A3" s="14">
        <v>102</v>
      </c>
      <c r="B3" s="15" t="s">
        <v>120</v>
      </c>
      <c r="C3" s="16">
        <f>850800+257000</f>
        <v>1107800</v>
      </c>
      <c r="D3" s="16">
        <f>220177.55+42362.14</f>
        <v>262539.69</v>
      </c>
      <c r="E3" s="24">
        <f t="shared" ref="E3:E33" si="0">C3-D3</f>
        <v>845260.31</v>
      </c>
      <c r="F3" s="13">
        <f>D3/C3*100</f>
        <v>23.6991957031955</v>
      </c>
    </row>
    <row r="4" ht="45.75" spans="1:6">
      <c r="A4" s="14">
        <v>104</v>
      </c>
      <c r="B4" s="18" t="s">
        <v>10</v>
      </c>
      <c r="C4" s="16">
        <f>5216700+400+1575400+172700+181000+20000+15000+16149.37+7600</f>
        <v>7204949.37</v>
      </c>
      <c r="D4" s="16">
        <f>937751.54+228285.57+15057.64+5500+14824.64</f>
        <v>1201419.39</v>
      </c>
      <c r="E4" s="24">
        <f t="shared" si="0"/>
        <v>6003529.98</v>
      </c>
      <c r="F4" s="13">
        <f>D4/C4*100</f>
        <v>16.6749178696866</v>
      </c>
    </row>
    <row r="5" ht="38.25" customHeight="1" spans="1:6">
      <c r="A5" s="19">
        <v>106</v>
      </c>
      <c r="B5" s="20" t="s">
        <v>152</v>
      </c>
      <c r="C5" s="16">
        <v>298000</v>
      </c>
      <c r="D5" s="16">
        <v>0</v>
      </c>
      <c r="E5" s="24">
        <f t="shared" si="0"/>
        <v>298000</v>
      </c>
      <c r="F5" s="13">
        <f>D5/C5*100</f>
        <v>0</v>
      </c>
    </row>
    <row r="6" ht="25.5" hidden="1" customHeight="1" spans="1:6">
      <c r="A6" s="14">
        <v>107</v>
      </c>
      <c r="B6" s="21" t="s">
        <v>153</v>
      </c>
      <c r="C6" s="16"/>
      <c r="D6" s="16">
        <v>0</v>
      </c>
      <c r="E6" s="24">
        <f t="shared" si="0"/>
        <v>0</v>
      </c>
      <c r="F6" s="13"/>
    </row>
    <row r="7" ht="16.5" spans="1:6">
      <c r="A7" s="19">
        <v>111</v>
      </c>
      <c r="B7" s="22" t="s">
        <v>12</v>
      </c>
      <c r="C7" s="16">
        <v>50000</v>
      </c>
      <c r="D7" s="16">
        <v>0</v>
      </c>
      <c r="E7" s="24">
        <f t="shared" si="0"/>
        <v>50000</v>
      </c>
      <c r="F7" s="13">
        <f t="shared" ref="F7:F40" si="1">D7/C7*100</f>
        <v>0</v>
      </c>
    </row>
    <row r="8" ht="16.5" spans="1:6">
      <c r="A8" s="14">
        <v>113</v>
      </c>
      <c r="B8" s="15" t="s">
        <v>121</v>
      </c>
      <c r="C8" s="16">
        <f>150000+10000+900000+100000+2000000+1299300+392400+455000+188000+2884+4104+116+4968800+600+1500400+284000+2584500+25000+18000+10000</f>
        <v>14893104</v>
      </c>
      <c r="D8" s="23">
        <f>271206.13+17800+291388.53+67425.59+47314.92+28950+115+845453.39+100+212829.53+778.32+441402.9+4097+15730+28.31</f>
        <v>2244619.62</v>
      </c>
      <c r="E8" s="24">
        <f t="shared" si="0"/>
        <v>12648484.38</v>
      </c>
      <c r="F8" s="13">
        <f t="shared" si="1"/>
        <v>15.0715365984149</v>
      </c>
    </row>
    <row r="9" ht="16.5" spans="1:6">
      <c r="A9" s="9">
        <v>200</v>
      </c>
      <c r="B9" s="10" t="s">
        <v>122</v>
      </c>
      <c r="C9" s="29">
        <f>C10</f>
        <v>424700</v>
      </c>
      <c r="D9" s="29">
        <f>D10</f>
        <v>82373.48</v>
      </c>
      <c r="E9" s="30">
        <f t="shared" si="0"/>
        <v>342326.52</v>
      </c>
      <c r="F9" s="13">
        <f t="shared" si="1"/>
        <v>19.3956863668472</v>
      </c>
    </row>
    <row r="10" ht="16.5" spans="1:6">
      <c r="A10" s="14">
        <v>203</v>
      </c>
      <c r="B10" s="15" t="s">
        <v>123</v>
      </c>
      <c r="C10" s="16">
        <f>325880+98420+400</f>
        <v>424700</v>
      </c>
      <c r="D10" s="16">
        <f>66287.01+16086.47</f>
        <v>82373.48</v>
      </c>
      <c r="E10" s="24">
        <f t="shared" si="0"/>
        <v>342326.52</v>
      </c>
      <c r="F10" s="13">
        <f t="shared" si="1"/>
        <v>19.3956863668472</v>
      </c>
    </row>
    <row r="11" ht="21.75" spans="1:6">
      <c r="A11" s="9">
        <v>300</v>
      </c>
      <c r="B11" s="10" t="s">
        <v>124</v>
      </c>
      <c r="C11" s="29">
        <f>SUM(C12:C13)</f>
        <v>120000</v>
      </c>
      <c r="D11" s="29">
        <f>SUM(D12:D13)</f>
        <v>15000</v>
      </c>
      <c r="E11" s="30">
        <f t="shared" si="0"/>
        <v>105000</v>
      </c>
      <c r="F11" s="13">
        <f t="shared" si="1"/>
        <v>12.5</v>
      </c>
    </row>
    <row r="12" ht="34.5" spans="1:6">
      <c r="A12" s="14">
        <v>309</v>
      </c>
      <c r="B12" s="25" t="s">
        <v>125</v>
      </c>
      <c r="C12" s="26">
        <f>5000+45000</f>
        <v>50000</v>
      </c>
      <c r="D12" s="16">
        <v>15000</v>
      </c>
      <c r="E12" s="24">
        <f t="shared" si="0"/>
        <v>35000</v>
      </c>
      <c r="F12" s="13">
        <f t="shared" si="1"/>
        <v>30</v>
      </c>
    </row>
    <row r="13" ht="23.25" spans="1:6">
      <c r="A13" s="14">
        <v>314</v>
      </c>
      <c r="B13" s="27" t="s">
        <v>126</v>
      </c>
      <c r="C13" s="16">
        <f>50000+20000</f>
        <v>70000</v>
      </c>
      <c r="D13" s="16"/>
      <c r="E13" s="24">
        <f t="shared" si="0"/>
        <v>70000</v>
      </c>
      <c r="F13" s="13">
        <f t="shared" si="1"/>
        <v>0</v>
      </c>
    </row>
    <row r="14" ht="16.5" spans="1:6">
      <c r="A14" s="9">
        <v>400</v>
      </c>
      <c r="B14" s="28" t="s">
        <v>127</v>
      </c>
      <c r="C14" s="29">
        <f>SUM(C15:C17)</f>
        <v>21161645.38</v>
      </c>
      <c r="D14" s="29">
        <f>SUM(D16:D17)</f>
        <v>26504</v>
      </c>
      <c r="E14" s="30">
        <f t="shared" si="0"/>
        <v>21135141.38</v>
      </c>
      <c r="F14" s="13">
        <f t="shared" si="1"/>
        <v>0.12524545952863</v>
      </c>
    </row>
    <row r="15" ht="23.25" spans="1:6">
      <c r="A15" s="14">
        <v>401</v>
      </c>
      <c r="B15" s="15" t="s">
        <v>205</v>
      </c>
      <c r="C15" s="16">
        <f>69800+30200</f>
        <v>100000</v>
      </c>
      <c r="D15" s="29"/>
      <c r="E15" s="24">
        <f t="shared" si="0"/>
        <v>100000</v>
      </c>
      <c r="F15" s="13"/>
    </row>
    <row r="16" ht="16.5" spans="1:6">
      <c r="A16" s="14">
        <v>409</v>
      </c>
      <c r="B16" s="15" t="s">
        <v>27</v>
      </c>
      <c r="C16" s="16">
        <f>5082645.38+600000+2282000+6973258+6003742</f>
        <v>20941645.38</v>
      </c>
      <c r="D16" s="16">
        <f>26504</f>
        <v>26504</v>
      </c>
      <c r="E16" s="30">
        <f t="shared" si="0"/>
        <v>20915141.38</v>
      </c>
      <c r="F16" s="13">
        <f t="shared" si="1"/>
        <v>0.12656121101789</v>
      </c>
    </row>
    <row r="17" ht="23.25" spans="1:6">
      <c r="A17" s="14">
        <v>412</v>
      </c>
      <c r="B17" s="15" t="s">
        <v>128</v>
      </c>
      <c r="C17" s="16">
        <f>20000+100000</f>
        <v>120000</v>
      </c>
      <c r="D17" s="16"/>
      <c r="E17" s="24">
        <f t="shared" si="0"/>
        <v>120000</v>
      </c>
      <c r="F17" s="13">
        <f t="shared" si="1"/>
        <v>0</v>
      </c>
    </row>
    <row r="18" ht="16.5" spans="1:6">
      <c r="A18" s="9">
        <v>500</v>
      </c>
      <c r="B18" s="10" t="s">
        <v>129</v>
      </c>
      <c r="C18" s="29">
        <f>SUM(C19:C20)</f>
        <v>8608535</v>
      </c>
      <c r="D18" s="29">
        <f>SUM(D19:D20)</f>
        <v>634667.43</v>
      </c>
      <c r="E18" s="30">
        <f t="shared" si="0"/>
        <v>7973867.57</v>
      </c>
      <c r="F18" s="13">
        <f t="shared" si="1"/>
        <v>7.37253702285</v>
      </c>
    </row>
    <row r="19" ht="16.5" spans="1:6">
      <c r="A19" s="14">
        <v>502</v>
      </c>
      <c r="B19" s="15" t="s">
        <v>31</v>
      </c>
      <c r="C19" s="16">
        <f>40000+2011900+730000+40000+100000</f>
        <v>2921900</v>
      </c>
      <c r="D19" s="16"/>
      <c r="E19" s="24">
        <f t="shared" si="0"/>
        <v>2921900</v>
      </c>
      <c r="F19" s="13">
        <f t="shared" si="1"/>
        <v>0</v>
      </c>
    </row>
    <row r="20" ht="16.5" spans="1:6">
      <c r="A20" s="14">
        <v>503</v>
      </c>
      <c r="B20" s="15" t="s">
        <v>33</v>
      </c>
      <c r="C20" s="16">
        <f>2492500+1151335+550000+1492800</f>
        <v>5686635</v>
      </c>
      <c r="D20" s="16">
        <v>634667.43</v>
      </c>
      <c r="E20" s="24">
        <f t="shared" si="0"/>
        <v>5051967.57</v>
      </c>
      <c r="F20" s="13">
        <f t="shared" si="1"/>
        <v>11.1606851855271</v>
      </c>
    </row>
    <row r="21" ht="16.5" spans="1:6">
      <c r="A21" s="9">
        <v>700</v>
      </c>
      <c r="B21" s="10" t="s">
        <v>130</v>
      </c>
      <c r="C21" s="29">
        <f>SUM(C22:C23)</f>
        <v>80000</v>
      </c>
      <c r="D21" s="29">
        <f>SUM(D22:D23)</f>
        <v>10000</v>
      </c>
      <c r="E21" s="30">
        <f t="shared" si="0"/>
        <v>70000</v>
      </c>
      <c r="F21" s="13">
        <f t="shared" si="1"/>
        <v>12.5</v>
      </c>
    </row>
    <row r="22" ht="16.5" spans="1:6">
      <c r="A22" s="14">
        <v>705</v>
      </c>
      <c r="B22" s="15" t="s">
        <v>174</v>
      </c>
      <c r="C22" s="16">
        <v>50000</v>
      </c>
      <c r="D22" s="16">
        <v>10000</v>
      </c>
      <c r="E22" s="24">
        <f t="shared" si="0"/>
        <v>40000</v>
      </c>
      <c r="F22" s="13">
        <f t="shared" si="1"/>
        <v>20</v>
      </c>
    </row>
    <row r="23" ht="16.5" spans="1:6">
      <c r="A23" s="14">
        <v>707</v>
      </c>
      <c r="B23" s="15" t="s">
        <v>35</v>
      </c>
      <c r="C23" s="16">
        <f>30000</f>
        <v>30000</v>
      </c>
      <c r="D23" s="16"/>
      <c r="E23" s="24">
        <f t="shared" si="0"/>
        <v>30000</v>
      </c>
      <c r="F23" s="13">
        <f t="shared" si="1"/>
        <v>0</v>
      </c>
    </row>
    <row r="24" ht="16.5" spans="1:6">
      <c r="A24" s="9">
        <v>800</v>
      </c>
      <c r="B24" s="10" t="s">
        <v>131</v>
      </c>
      <c r="C24" s="29">
        <f>SUM(C25:C26)</f>
        <v>8320800</v>
      </c>
      <c r="D24" s="29">
        <f>SUM(D25:D26)</f>
        <v>1703328.89</v>
      </c>
      <c r="E24" s="30">
        <f t="shared" si="0"/>
        <v>6617471.11</v>
      </c>
      <c r="F24" s="13">
        <f t="shared" si="1"/>
        <v>20.4707346649361</v>
      </c>
    </row>
    <row r="25" ht="16.5" spans="1:6">
      <c r="A25" s="14">
        <v>801</v>
      </c>
      <c r="B25" s="15" t="s">
        <v>132</v>
      </c>
      <c r="C25" s="16">
        <f>3755000+2842300+3500+1370000</f>
        <v>7970800</v>
      </c>
      <c r="D25" s="16">
        <f>677764.56+550844.33+474720</f>
        <v>1703328.89</v>
      </c>
      <c r="E25" s="24">
        <f t="shared" si="0"/>
        <v>6267471.11</v>
      </c>
      <c r="F25" s="13">
        <f t="shared" si="1"/>
        <v>21.3696102022382</v>
      </c>
    </row>
    <row r="26" ht="16.5" spans="1:6">
      <c r="A26" s="14">
        <v>804</v>
      </c>
      <c r="B26" s="15" t="s">
        <v>133</v>
      </c>
      <c r="C26" s="16">
        <v>350000</v>
      </c>
      <c r="D26" s="16"/>
      <c r="E26" s="24">
        <f t="shared" si="0"/>
        <v>350000</v>
      </c>
      <c r="F26" s="13">
        <f t="shared" si="1"/>
        <v>0</v>
      </c>
    </row>
    <row r="27" ht="16.5" hidden="1" spans="1:6">
      <c r="A27" s="9">
        <v>1000</v>
      </c>
      <c r="B27" s="10" t="s">
        <v>134</v>
      </c>
      <c r="C27" s="29">
        <f>C28</f>
        <v>0</v>
      </c>
      <c r="D27" s="29">
        <f>D28</f>
        <v>0</v>
      </c>
      <c r="E27" s="30">
        <f t="shared" si="0"/>
        <v>0</v>
      </c>
      <c r="F27" s="13" t="e">
        <f t="shared" si="1"/>
        <v>#DIV/0!</v>
      </c>
    </row>
    <row r="28" ht="16.5" hidden="1" spans="1:6">
      <c r="A28" s="14">
        <v>1003</v>
      </c>
      <c r="B28" s="15" t="s">
        <v>135</v>
      </c>
      <c r="C28" s="16">
        <v>0</v>
      </c>
      <c r="D28" s="16">
        <v>0</v>
      </c>
      <c r="E28" s="30">
        <f t="shared" si="0"/>
        <v>0</v>
      </c>
      <c r="F28" s="13" t="e">
        <f t="shared" si="1"/>
        <v>#DIV/0!</v>
      </c>
    </row>
    <row r="29" ht="16.5" spans="1:6">
      <c r="A29" s="9">
        <v>1100</v>
      </c>
      <c r="B29" s="10" t="s">
        <v>136</v>
      </c>
      <c r="C29" s="29">
        <f>C30+C31+C32+C33</f>
        <v>2696600</v>
      </c>
      <c r="D29" s="29">
        <f>D30+D31+D32+D33</f>
        <v>398640.73</v>
      </c>
      <c r="E29" s="30">
        <f t="shared" si="0"/>
        <v>2297959.27</v>
      </c>
      <c r="F29" s="13">
        <f t="shared" si="1"/>
        <v>14.7830872209449</v>
      </c>
    </row>
    <row r="30" ht="16.5" spans="1:6">
      <c r="A30" s="14">
        <v>1101</v>
      </c>
      <c r="B30" s="15" t="s">
        <v>137</v>
      </c>
      <c r="C30" s="16">
        <f>200000+1035600</f>
        <v>1235600</v>
      </c>
      <c r="D30" s="31">
        <f>32933.64+194735.6</f>
        <v>227669.24</v>
      </c>
      <c r="E30" s="24">
        <f t="shared" si="0"/>
        <v>1007930.76</v>
      </c>
      <c r="F30" s="13">
        <f t="shared" si="1"/>
        <v>18.4258044674652</v>
      </c>
    </row>
    <row r="31" ht="16.5" customHeight="1" spans="1:6">
      <c r="A31" s="14">
        <v>1102</v>
      </c>
      <c r="B31" s="15" t="s">
        <v>150</v>
      </c>
      <c r="C31" s="32">
        <v>1128800</v>
      </c>
      <c r="D31" s="33">
        <v>107000</v>
      </c>
      <c r="E31" s="24">
        <f t="shared" si="0"/>
        <v>1021800</v>
      </c>
      <c r="F31" s="13">
        <f t="shared" si="1"/>
        <v>9.47909284195606</v>
      </c>
    </row>
    <row r="32" ht="21.75" customHeight="1" spans="1:6">
      <c r="A32" s="34">
        <v>1204</v>
      </c>
      <c r="B32" s="35" t="s">
        <v>151</v>
      </c>
      <c r="C32" s="36">
        <v>100000</v>
      </c>
      <c r="D32" s="37">
        <v>6254</v>
      </c>
      <c r="E32" s="24">
        <f t="shared" si="0"/>
        <v>93746</v>
      </c>
      <c r="F32" s="38">
        <f t="shared" si="1"/>
        <v>6.254</v>
      </c>
    </row>
    <row r="33" s="1" customFormat="1" ht="16.5" spans="1:6">
      <c r="A33" s="39">
        <v>1301</v>
      </c>
      <c r="B33" s="40" t="s">
        <v>206</v>
      </c>
      <c r="C33" s="41">
        <v>232200</v>
      </c>
      <c r="D33" s="13">
        <v>57717.49</v>
      </c>
      <c r="E33" s="24">
        <f t="shared" si="0"/>
        <v>174482.51</v>
      </c>
      <c r="F33" s="13">
        <f t="shared" si="1"/>
        <v>24.8568001722653</v>
      </c>
    </row>
    <row r="34" ht="23.25" hidden="1" spans="1:6">
      <c r="A34" s="43">
        <v>1300</v>
      </c>
      <c r="B34" s="44" t="s">
        <v>154</v>
      </c>
      <c r="C34" s="45">
        <v>0</v>
      </c>
      <c r="D34" s="45"/>
      <c r="E34" s="30"/>
      <c r="F34" s="46"/>
    </row>
    <row r="35" ht="23.25" hidden="1" spans="1:6">
      <c r="A35" s="47">
        <v>1301</v>
      </c>
      <c r="B35" s="48" t="s">
        <v>154</v>
      </c>
      <c r="C35" s="49">
        <v>0</v>
      </c>
      <c r="D35" s="49">
        <v>0</v>
      </c>
      <c r="E35" s="30">
        <f t="shared" ref="E35:E39" si="2">D35-C35</f>
        <v>0</v>
      </c>
      <c r="F35" s="13" t="e">
        <f t="shared" si="1"/>
        <v>#DIV/0!</v>
      </c>
    </row>
    <row r="36" ht="16.5" hidden="1" spans="1:6">
      <c r="A36" s="50" t="s">
        <v>140</v>
      </c>
      <c r="B36" s="51" t="s">
        <v>141</v>
      </c>
      <c r="C36" s="52">
        <f>C38</f>
        <v>0</v>
      </c>
      <c r="D36" s="53">
        <f>D38</f>
        <v>0</v>
      </c>
      <c r="E36" s="30">
        <f t="shared" si="2"/>
        <v>0</v>
      </c>
      <c r="F36" s="13" t="e">
        <f t="shared" si="1"/>
        <v>#DIV/0!</v>
      </c>
    </row>
    <row r="37" ht="16.5" hidden="1" spans="1:6">
      <c r="A37" s="9"/>
      <c r="B37" s="10" t="s">
        <v>142</v>
      </c>
      <c r="C37" s="54"/>
      <c r="D37" s="54"/>
      <c r="E37" s="30">
        <f t="shared" si="2"/>
        <v>0</v>
      </c>
      <c r="F37" s="13"/>
    </row>
    <row r="38" ht="16.5" hidden="1" spans="1:6">
      <c r="A38" s="55" t="s">
        <v>143</v>
      </c>
      <c r="B38" s="56" t="s">
        <v>144</v>
      </c>
      <c r="C38" s="57">
        <v>0</v>
      </c>
      <c r="D38" s="57">
        <v>0</v>
      </c>
      <c r="E38" s="30">
        <f t="shared" si="2"/>
        <v>0</v>
      </c>
      <c r="F38" s="13" t="e">
        <f t="shared" si="1"/>
        <v>#DIV/0!</v>
      </c>
    </row>
    <row r="39" ht="16.5" hidden="1" spans="1:6">
      <c r="A39" s="14"/>
      <c r="B39" s="15" t="s">
        <v>145</v>
      </c>
      <c r="C39" s="26"/>
      <c r="D39" s="26"/>
      <c r="E39" s="30">
        <f t="shared" si="2"/>
        <v>0</v>
      </c>
      <c r="F39" s="13"/>
    </row>
    <row r="40" ht="16.5" spans="1:6">
      <c r="A40" s="9">
        <v>9800</v>
      </c>
      <c r="B40" s="10" t="s">
        <v>146</v>
      </c>
      <c r="C40" s="29">
        <f>C2+C9+C11+C14+C18+C21+C24+C29</f>
        <v>64966133.75</v>
      </c>
      <c r="D40" s="29">
        <f>D2+D9+D11+D14+D18+D21+D24+D29</f>
        <v>6579093.23</v>
      </c>
      <c r="E40" s="29">
        <f>E2+E9+E11+E14+E18+E21+E24+E29</f>
        <v>58387040.52</v>
      </c>
      <c r="F40" s="13">
        <f t="shared" si="1"/>
        <v>10.1269582322959</v>
      </c>
    </row>
  </sheetData>
  <mergeCells count="6">
    <mergeCell ref="A36:A37"/>
    <mergeCell ref="A38:A39"/>
    <mergeCell ref="C36:C37"/>
    <mergeCell ref="C38:C39"/>
    <mergeCell ref="D36:D37"/>
    <mergeCell ref="D38:D3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A1" sqref="$A1:$XFD1048576"/>
    </sheetView>
  </sheetViews>
  <sheetFormatPr defaultColWidth="9" defaultRowHeight="15" outlineLevelCol="5"/>
  <cols>
    <col min="1" max="1" width="19.4285714285714" customWidth="1"/>
    <col min="2" max="2" width="32.1428571428571" style="2" customWidth="1"/>
    <col min="3" max="3" width="21.2857142857143" style="63" customWidth="1"/>
    <col min="4" max="4" width="19.5714285714286" style="3" customWidth="1"/>
    <col min="5" max="5" width="17.5714285714286" style="3" customWidth="1"/>
    <col min="6" max="6" width="11.7142857142857" customWidth="1"/>
  </cols>
  <sheetData>
    <row r="1" ht="60.75" customHeight="1" spans="1:6">
      <c r="A1" s="64" t="s">
        <v>64</v>
      </c>
      <c r="B1" s="65" t="s">
        <v>65</v>
      </c>
      <c r="C1" s="66" t="s">
        <v>66</v>
      </c>
      <c r="D1" s="67" t="s">
        <v>67</v>
      </c>
      <c r="E1" s="68" t="s">
        <v>68</v>
      </c>
      <c r="F1" s="69" t="s">
        <v>69</v>
      </c>
    </row>
    <row r="2" ht="15.75" spans="1:6">
      <c r="A2" s="70"/>
      <c r="B2" s="71"/>
      <c r="C2" s="72"/>
      <c r="D2" s="73"/>
      <c r="E2" s="74" t="s">
        <v>70</v>
      </c>
      <c r="F2" s="69"/>
    </row>
    <row r="3" s="58" customFormat="1" ht="41.25" hidden="1" customHeight="1" spans="1:6">
      <c r="A3" s="75" t="s">
        <v>175</v>
      </c>
      <c r="B3" s="76" t="s">
        <v>156</v>
      </c>
      <c r="C3" s="77">
        <v>0</v>
      </c>
      <c r="D3" s="78">
        <v>0</v>
      </c>
      <c r="E3" s="79">
        <v>0</v>
      </c>
      <c r="F3" s="80" t="e">
        <f>D3/C3*100</f>
        <v>#DIV/0!</v>
      </c>
    </row>
    <row r="4" hidden="1"/>
    <row r="5" s="59" customFormat="1" ht="130.5" customHeight="1" spans="1:6">
      <c r="A5" s="81" t="s">
        <v>176</v>
      </c>
      <c r="B5" s="82" t="s">
        <v>177</v>
      </c>
      <c r="C5" s="83">
        <v>4050000</v>
      </c>
      <c r="D5" s="84">
        <v>1420299.61</v>
      </c>
      <c r="E5" s="85">
        <f>C5-D5</f>
        <v>2629700.39</v>
      </c>
      <c r="F5" s="86">
        <f t="shared" ref="F5:F45" si="0">D5/C5*100</f>
        <v>35.0691261728395</v>
      </c>
    </row>
    <row r="6" s="59" customFormat="1" ht="149.25" customHeight="1" spans="1:6">
      <c r="A6" s="81" t="s">
        <v>178</v>
      </c>
      <c r="B6" s="82" t="s">
        <v>179</v>
      </c>
      <c r="C6" s="83">
        <v>32000</v>
      </c>
      <c r="D6" s="84">
        <v>9170.75</v>
      </c>
      <c r="E6" s="85">
        <f t="shared" ref="E6:E14" si="1">C6-D6</f>
        <v>22829.25</v>
      </c>
      <c r="F6" s="86">
        <f t="shared" si="0"/>
        <v>28.65859375</v>
      </c>
    </row>
    <row r="7" s="59" customFormat="1" ht="149.25" customHeight="1" spans="1:6">
      <c r="A7" s="81" t="s">
        <v>180</v>
      </c>
      <c r="B7" s="82" t="s">
        <v>181</v>
      </c>
      <c r="C7" s="83">
        <v>3800000</v>
      </c>
      <c r="D7" s="84">
        <v>1849685.7</v>
      </c>
      <c r="E7" s="85">
        <f t="shared" si="1"/>
        <v>1950314.3</v>
      </c>
      <c r="F7" s="86">
        <f t="shared" si="0"/>
        <v>48.6759394736842</v>
      </c>
    </row>
    <row r="8" s="59" customFormat="1" ht="149.25" customHeight="1" spans="1:6">
      <c r="A8" s="81" t="s">
        <v>182</v>
      </c>
      <c r="B8" s="82" t="s">
        <v>183</v>
      </c>
      <c r="C8" s="83">
        <v>0</v>
      </c>
      <c r="D8" s="84">
        <v>-281356.94</v>
      </c>
      <c r="E8" s="85">
        <v>0</v>
      </c>
      <c r="F8" s="86" t="e">
        <f t="shared" si="0"/>
        <v>#DIV/0!</v>
      </c>
    </row>
    <row r="9" s="59" customFormat="1" ht="38.25" customHeight="1" spans="1:6">
      <c r="A9" s="81" t="s">
        <v>71</v>
      </c>
      <c r="B9" s="82" t="s">
        <v>72</v>
      </c>
      <c r="C9" s="83">
        <v>13040000</v>
      </c>
      <c r="D9" s="84">
        <v>5524232.28</v>
      </c>
      <c r="E9" s="85">
        <f t="shared" si="1"/>
        <v>7515767.72</v>
      </c>
      <c r="F9" s="86">
        <f t="shared" si="0"/>
        <v>42.3637444785276</v>
      </c>
    </row>
    <row r="10" s="59" customFormat="1" ht="108" customHeight="1" spans="1:6">
      <c r="A10" s="81" t="s">
        <v>184</v>
      </c>
      <c r="B10" s="82" t="s">
        <v>185</v>
      </c>
      <c r="C10" s="83">
        <v>0</v>
      </c>
      <c r="D10" s="84">
        <v>5936.49</v>
      </c>
      <c r="E10" s="85"/>
      <c r="F10" s="86" t="e">
        <f t="shared" si="0"/>
        <v>#DIV/0!</v>
      </c>
    </row>
    <row r="11" s="59" customFormat="1" ht="33" customHeight="1" spans="1:6">
      <c r="A11" s="81" t="s">
        <v>186</v>
      </c>
      <c r="B11" s="82" t="s">
        <v>187</v>
      </c>
      <c r="C11" s="83">
        <v>0</v>
      </c>
      <c r="D11" s="84">
        <v>-17408.89</v>
      </c>
      <c r="E11" s="85"/>
      <c r="F11" s="86" t="e">
        <f t="shared" si="0"/>
        <v>#DIV/0!</v>
      </c>
    </row>
    <row r="12" s="59" customFormat="1" ht="88.5" customHeight="1" spans="1:6">
      <c r="A12" s="89" t="s">
        <v>188</v>
      </c>
      <c r="B12" s="90" t="s">
        <v>189</v>
      </c>
      <c r="C12" s="91">
        <v>0</v>
      </c>
      <c r="D12" s="92">
        <v>56954.7</v>
      </c>
      <c r="E12" s="85"/>
      <c r="F12" s="161" t="e">
        <f t="shared" si="0"/>
        <v>#DIV/0!</v>
      </c>
    </row>
    <row r="13" s="59" customFormat="1" ht="25.5" customHeight="1" spans="1:6">
      <c r="A13" s="95" t="s">
        <v>190</v>
      </c>
      <c r="B13" s="96" t="s">
        <v>74</v>
      </c>
      <c r="C13" s="97">
        <v>1878000</v>
      </c>
      <c r="D13" s="98">
        <v>1882655.5</v>
      </c>
      <c r="E13" s="85">
        <v>0</v>
      </c>
      <c r="F13" s="86">
        <f t="shared" si="0"/>
        <v>100.247896698616</v>
      </c>
    </row>
    <row r="14" s="59" customFormat="1" ht="19.5" customHeight="1" spans="1:6">
      <c r="A14" s="95" t="s">
        <v>75</v>
      </c>
      <c r="B14" s="96" t="s">
        <v>76</v>
      </c>
      <c r="C14" s="97">
        <v>5546800</v>
      </c>
      <c r="D14" s="98">
        <v>407858.86</v>
      </c>
      <c r="E14" s="85">
        <f t="shared" si="1"/>
        <v>5138941.14</v>
      </c>
      <c r="F14" s="86">
        <f t="shared" si="0"/>
        <v>7.35304788346434</v>
      </c>
    </row>
    <row r="15" s="59" customFormat="1" ht="13.5" customHeight="1" spans="1:6">
      <c r="A15" s="104" t="s">
        <v>77</v>
      </c>
      <c r="B15" s="96" t="s">
        <v>191</v>
      </c>
      <c r="C15" s="105">
        <f>SUM(C17:C18)</f>
        <v>9568000</v>
      </c>
      <c r="D15" s="106">
        <f>SUM(D17:D18)</f>
        <v>1989242.06</v>
      </c>
      <c r="E15" s="106">
        <f>SUM(E17:E18)</f>
        <v>7578757.94</v>
      </c>
      <c r="F15" s="86">
        <f t="shared" si="0"/>
        <v>20.7905733695652</v>
      </c>
    </row>
    <row r="16" s="59" customFormat="1" ht="13.5" hidden="1" customHeight="1" spans="1:6">
      <c r="A16" s="107"/>
      <c r="B16" s="82" t="s">
        <v>79</v>
      </c>
      <c r="C16" s="108"/>
      <c r="D16" s="109"/>
      <c r="E16" s="109"/>
      <c r="F16" s="110"/>
    </row>
    <row r="17" s="59" customFormat="1" ht="47.25" customHeight="1" spans="1:6">
      <c r="A17" s="81" t="s">
        <v>157</v>
      </c>
      <c r="B17" s="111" t="s">
        <v>158</v>
      </c>
      <c r="C17" s="112">
        <v>4160000</v>
      </c>
      <c r="D17" s="113">
        <v>1630467.63</v>
      </c>
      <c r="E17" s="85">
        <f>C17-D17</f>
        <v>2529532.37</v>
      </c>
      <c r="F17" s="86">
        <f t="shared" si="0"/>
        <v>39.1939334134615</v>
      </c>
    </row>
    <row r="18" s="59" customFormat="1" ht="45.75" spans="1:6">
      <c r="A18" s="81" t="s">
        <v>159</v>
      </c>
      <c r="B18" s="111" t="s">
        <v>160</v>
      </c>
      <c r="C18" s="112">
        <v>5408000</v>
      </c>
      <c r="D18" s="113">
        <v>358774.43</v>
      </c>
      <c r="E18" s="85">
        <f>C18-D18</f>
        <v>5049225.57</v>
      </c>
      <c r="F18" s="86">
        <f t="shared" si="0"/>
        <v>6.63414256656805</v>
      </c>
    </row>
    <row r="19" ht="23.25" spans="1:6">
      <c r="A19" s="114" t="s">
        <v>147</v>
      </c>
      <c r="B19" s="115" t="s">
        <v>85</v>
      </c>
      <c r="C19" s="116">
        <v>0</v>
      </c>
      <c r="D19" s="117" t="s">
        <v>192</v>
      </c>
      <c r="E19" s="130"/>
      <c r="F19" s="131"/>
    </row>
    <row r="20" ht="21" spans="1:6">
      <c r="A20" s="118" t="s">
        <v>86</v>
      </c>
      <c r="B20" s="119" t="s">
        <v>87</v>
      </c>
      <c r="C20" s="120">
        <f>SUM(C22:C24)</f>
        <v>0</v>
      </c>
      <c r="D20" s="121">
        <v>0</v>
      </c>
      <c r="E20" s="121">
        <f>SUM(E22:E24)</f>
        <v>0</v>
      </c>
      <c r="F20" s="156"/>
    </row>
    <row r="21" ht="15.75" customHeight="1" spans="1:6">
      <c r="A21" s="114"/>
      <c r="B21" s="122" t="s">
        <v>79</v>
      </c>
      <c r="C21" s="123"/>
      <c r="D21" s="124"/>
      <c r="E21" s="157"/>
      <c r="F21" s="158"/>
    </row>
    <row r="22" ht="38.25" customHeight="1" spans="1:6">
      <c r="A22" s="114" t="s">
        <v>88</v>
      </c>
      <c r="B22" s="115" t="s">
        <v>89</v>
      </c>
      <c r="C22" s="116">
        <v>0</v>
      </c>
      <c r="D22" s="125">
        <v>0</v>
      </c>
      <c r="E22" s="159">
        <f t="shared" ref="E22:E32" si="2">C22-D22</f>
        <v>0</v>
      </c>
      <c r="F22" s="131"/>
    </row>
    <row r="23" ht="48" customHeight="1" spans="1:6">
      <c r="A23" s="114" t="s">
        <v>90</v>
      </c>
      <c r="B23" s="115" t="s">
        <v>91</v>
      </c>
      <c r="C23" s="116">
        <v>0</v>
      </c>
      <c r="D23" s="126">
        <v>0</v>
      </c>
      <c r="E23" s="130">
        <f t="shared" si="2"/>
        <v>0</v>
      </c>
      <c r="F23" s="131"/>
    </row>
    <row r="24" ht="43.5" customHeight="1" spans="1:6">
      <c r="A24" s="114" t="s">
        <v>92</v>
      </c>
      <c r="B24" s="115" t="s">
        <v>93</v>
      </c>
      <c r="C24" s="116">
        <v>0</v>
      </c>
      <c r="D24" s="113">
        <v>0</v>
      </c>
      <c r="E24" s="130">
        <f t="shared" si="2"/>
        <v>0</v>
      </c>
      <c r="F24" s="131"/>
    </row>
    <row r="25" s="59" customFormat="1" ht="36" customHeight="1" spans="1:6">
      <c r="A25" s="81" t="s">
        <v>94</v>
      </c>
      <c r="B25" s="82" t="s">
        <v>95</v>
      </c>
      <c r="C25" s="83">
        <v>61204</v>
      </c>
      <c r="D25" s="84">
        <v>33384</v>
      </c>
      <c r="E25" s="85">
        <f t="shared" si="2"/>
        <v>27820</v>
      </c>
      <c r="F25" s="86">
        <f t="shared" si="0"/>
        <v>54.5454545454545</v>
      </c>
    </row>
    <row r="26" s="59" customFormat="1" ht="85.5" customHeight="1" spans="1:6">
      <c r="A26" s="81" t="s">
        <v>193</v>
      </c>
      <c r="B26" s="82" t="s">
        <v>194</v>
      </c>
      <c r="C26" s="83">
        <v>0</v>
      </c>
      <c r="D26" s="84">
        <v>8000</v>
      </c>
      <c r="E26" s="85">
        <v>0</v>
      </c>
      <c r="F26" s="86" t="e">
        <f t="shared" si="0"/>
        <v>#DIV/0!</v>
      </c>
    </row>
    <row r="27" s="59" customFormat="1" ht="83.25" customHeight="1" spans="1:6">
      <c r="A27" s="81" t="s">
        <v>195</v>
      </c>
      <c r="B27" s="82" t="s">
        <v>196</v>
      </c>
      <c r="C27" s="83">
        <v>10000</v>
      </c>
      <c r="D27" s="84">
        <v>0</v>
      </c>
      <c r="E27" s="85">
        <v>10000</v>
      </c>
      <c r="F27" s="86">
        <f t="shared" si="0"/>
        <v>0</v>
      </c>
    </row>
    <row r="28" ht="55.5" customHeight="1" spans="1:6">
      <c r="A28" s="114" t="s">
        <v>98</v>
      </c>
      <c r="B28" s="127" t="s">
        <v>99</v>
      </c>
      <c r="C28" s="128" t="s">
        <v>192</v>
      </c>
      <c r="D28" s="129" t="s">
        <v>192</v>
      </c>
      <c r="E28" s="130" t="s">
        <v>192</v>
      </c>
      <c r="F28" s="131" t="e">
        <f t="shared" si="0"/>
        <v>#VALUE!</v>
      </c>
    </row>
    <row r="29" ht="24.75" customHeight="1" spans="1:6">
      <c r="A29" s="114" t="s">
        <v>100</v>
      </c>
      <c r="B29" s="127" t="s">
        <v>101</v>
      </c>
      <c r="C29" s="128">
        <v>0</v>
      </c>
      <c r="D29" s="129">
        <v>0</v>
      </c>
      <c r="E29" s="130">
        <f t="shared" si="2"/>
        <v>0</v>
      </c>
      <c r="F29" s="131"/>
    </row>
    <row r="30" ht="28.5" customHeight="1" spans="1:6">
      <c r="A30" s="114" t="s">
        <v>148</v>
      </c>
      <c r="B30" s="127" t="s">
        <v>149</v>
      </c>
      <c r="C30" s="128">
        <v>0</v>
      </c>
      <c r="D30" s="129">
        <v>0</v>
      </c>
      <c r="E30" s="130">
        <f t="shared" si="2"/>
        <v>0</v>
      </c>
      <c r="F30" s="131"/>
    </row>
    <row r="31" ht="33.75" customHeight="1" spans="1:6">
      <c r="A31" s="114" t="s">
        <v>103</v>
      </c>
      <c r="B31" s="127" t="s">
        <v>104</v>
      </c>
      <c r="C31" s="128">
        <v>0</v>
      </c>
      <c r="D31" s="129">
        <v>0</v>
      </c>
      <c r="E31" s="130">
        <f t="shared" si="2"/>
        <v>0</v>
      </c>
      <c r="F31" s="131"/>
    </row>
    <row r="32" ht="37.5" customHeight="1" spans="1:6">
      <c r="A32" s="114" t="s">
        <v>105</v>
      </c>
      <c r="B32" s="127" t="s">
        <v>106</v>
      </c>
      <c r="C32" s="128">
        <v>0</v>
      </c>
      <c r="D32" s="129">
        <v>0</v>
      </c>
      <c r="E32" s="130">
        <f t="shared" si="2"/>
        <v>0</v>
      </c>
      <c r="F32" s="131"/>
    </row>
    <row r="33" ht="15.75" customHeight="1" spans="1:6">
      <c r="A33" s="132" t="s">
        <v>109</v>
      </c>
      <c r="B33" s="133"/>
      <c r="C33" s="134">
        <f>C9+C5+C6+C7+C8+C10+C11+C13+C14+C15+C25+C26+C27</f>
        <v>37986004</v>
      </c>
      <c r="D33" s="134">
        <f>D9+D5+D6+D7+D8+D10+D11+D13+D14+D15+D25+D26+D27+D12</f>
        <v>12888654.12</v>
      </c>
      <c r="E33" s="134">
        <f>E9+E5+E6+E7+E8+E10+E11+E13+E14+E15+E25+E26+E27+E12</f>
        <v>24874130.74</v>
      </c>
      <c r="F33" s="131">
        <f t="shared" si="0"/>
        <v>33.9300077997149</v>
      </c>
    </row>
    <row r="34" s="60" customFormat="1" ht="16.5" spans="1:6">
      <c r="A34" s="135" t="s">
        <v>197</v>
      </c>
      <c r="B34" s="10" t="s">
        <v>198</v>
      </c>
      <c r="C34" s="136">
        <f>C35+C38+C39+C40+C36+C41+C37+C42</f>
        <v>45044000</v>
      </c>
      <c r="D34" s="136">
        <f>D35+D38+D39+D40+D36+D41+D37+D42</f>
        <v>11716598.5</v>
      </c>
      <c r="E34" s="136">
        <f>E35+E38+E39+E40+E36+E41+E37+E42</f>
        <v>33327401.5</v>
      </c>
      <c r="F34" s="137">
        <f t="shared" si="0"/>
        <v>26.0114521356895</v>
      </c>
    </row>
    <row r="35" s="61" customFormat="1" ht="34.5" spans="1:6">
      <c r="A35" s="138" t="s">
        <v>199</v>
      </c>
      <c r="B35" s="111" t="s">
        <v>200</v>
      </c>
      <c r="C35" s="139">
        <v>7832000</v>
      </c>
      <c r="D35" s="112">
        <v>5874000</v>
      </c>
      <c r="E35" s="140">
        <f>C35-D35</f>
        <v>1958000</v>
      </c>
      <c r="F35" s="141">
        <f t="shared" si="0"/>
        <v>75</v>
      </c>
    </row>
    <row r="36" s="61" customFormat="1" ht="23.25" spans="1:6">
      <c r="A36" s="138" t="s">
        <v>207</v>
      </c>
      <c r="B36" s="111" t="s">
        <v>208</v>
      </c>
      <c r="C36" s="139">
        <v>4500000</v>
      </c>
      <c r="D36" s="112">
        <v>4500000</v>
      </c>
      <c r="E36" s="140">
        <f>C36-D36</f>
        <v>0</v>
      </c>
      <c r="F36" s="141">
        <f t="shared" si="0"/>
        <v>100</v>
      </c>
    </row>
    <row r="37" s="61" customFormat="1" ht="34.5" spans="1:6">
      <c r="A37" s="138" t="s">
        <v>209</v>
      </c>
      <c r="B37" s="111" t="s">
        <v>210</v>
      </c>
      <c r="C37" s="139">
        <v>18072000</v>
      </c>
      <c r="D37" s="112">
        <v>0</v>
      </c>
      <c r="E37" s="140">
        <f>C37-D37</f>
        <v>18072000</v>
      </c>
      <c r="F37" s="141">
        <f t="shared" si="0"/>
        <v>0</v>
      </c>
    </row>
    <row r="38" s="61" customFormat="1" ht="28.5" customHeight="1" spans="1:6">
      <c r="A38" s="142" t="s">
        <v>201</v>
      </c>
      <c r="B38" s="143" t="s">
        <v>164</v>
      </c>
      <c r="C38" s="144">
        <v>13507700</v>
      </c>
      <c r="D38" s="112">
        <v>1056097.84</v>
      </c>
      <c r="E38" s="140">
        <f>C38-D38</f>
        <v>12451602.16</v>
      </c>
      <c r="F38" s="141">
        <f t="shared" si="0"/>
        <v>7.81848752933512</v>
      </c>
    </row>
    <row r="39" s="61" customFormat="1" ht="30.75" customHeight="1" spans="1:6">
      <c r="A39" s="145" t="s">
        <v>202</v>
      </c>
      <c r="B39" s="146" t="s">
        <v>166</v>
      </c>
      <c r="C39" s="147">
        <v>7600</v>
      </c>
      <c r="D39" s="112">
        <v>0</v>
      </c>
      <c r="E39" s="140">
        <f t="shared" ref="E39:E41" si="3">C39-D39</f>
        <v>7600</v>
      </c>
      <c r="F39" s="148">
        <f t="shared" si="0"/>
        <v>0</v>
      </c>
    </row>
    <row r="40" s="61" customFormat="1" ht="30.75" customHeight="1" spans="1:6">
      <c r="A40" s="145" t="s">
        <v>203</v>
      </c>
      <c r="B40" s="146" t="s">
        <v>168</v>
      </c>
      <c r="C40" s="147">
        <v>424700</v>
      </c>
      <c r="D40" s="112">
        <v>186500.66</v>
      </c>
      <c r="E40" s="140">
        <f t="shared" si="3"/>
        <v>238199.34</v>
      </c>
      <c r="F40" s="148">
        <f t="shared" si="0"/>
        <v>43.9135060042383</v>
      </c>
    </row>
    <row r="41" s="61" customFormat="1" ht="33.75" customHeight="1" spans="1:6">
      <c r="A41" s="145" t="s">
        <v>211</v>
      </c>
      <c r="B41" s="146" t="s">
        <v>170</v>
      </c>
      <c r="C41" s="149">
        <v>600000</v>
      </c>
      <c r="D41" s="112"/>
      <c r="E41" s="140">
        <f t="shared" si="3"/>
        <v>600000</v>
      </c>
      <c r="F41" s="148">
        <f t="shared" ref="F41:F42" si="4">D41/C41*100</f>
        <v>0</v>
      </c>
    </row>
    <row r="42" s="59" customFormat="1" ht="16.5" spans="1:6">
      <c r="A42" s="81" t="s">
        <v>204</v>
      </c>
      <c r="B42" s="111" t="s">
        <v>172</v>
      </c>
      <c r="C42" s="112">
        <v>100000</v>
      </c>
      <c r="D42" s="112">
        <v>100000</v>
      </c>
      <c r="E42" s="85">
        <v>0</v>
      </c>
      <c r="F42" s="148">
        <f t="shared" si="4"/>
        <v>100</v>
      </c>
    </row>
    <row r="43" s="62" customFormat="1" ht="47.25" customHeight="1" spans="1:6">
      <c r="A43" s="150" t="s">
        <v>107</v>
      </c>
      <c r="B43" s="151" t="s">
        <v>108</v>
      </c>
      <c r="C43" s="152">
        <v>0</v>
      </c>
      <c r="D43" s="152">
        <v>0</v>
      </c>
      <c r="E43" s="153">
        <f>C43-D43</f>
        <v>0</v>
      </c>
      <c r="F43" s="154"/>
    </row>
    <row r="44" ht="16.5" spans="1:6">
      <c r="A44" s="132" t="s">
        <v>112</v>
      </c>
      <c r="B44" s="133"/>
      <c r="C44" s="134">
        <f>C34</f>
        <v>45044000</v>
      </c>
      <c r="D44" s="134">
        <f>D34</f>
        <v>11716598.5</v>
      </c>
      <c r="E44" s="134">
        <f>E34</f>
        <v>33327401.5</v>
      </c>
      <c r="F44" s="131">
        <f t="shared" si="0"/>
        <v>26.0114521356895</v>
      </c>
    </row>
    <row r="45" ht="28.5" customHeight="1" spans="1:6">
      <c r="A45" s="132" t="s">
        <v>113</v>
      </c>
      <c r="B45" s="133"/>
      <c r="C45" s="134">
        <f>C33+C44</f>
        <v>83030004</v>
      </c>
      <c r="D45" s="134">
        <f>D33+D44</f>
        <v>24605252.62</v>
      </c>
      <c r="E45" s="134">
        <f>E33+E44</f>
        <v>58201532.24</v>
      </c>
      <c r="F45" s="131">
        <f t="shared" si="0"/>
        <v>29.6341701007265</v>
      </c>
    </row>
  </sheetData>
  <mergeCells count="12">
    <mergeCell ref="A33:B33"/>
    <mergeCell ref="A44:B44"/>
    <mergeCell ref="A45:B45"/>
    <mergeCell ref="A1:A2"/>
    <mergeCell ref="A20:A21"/>
    <mergeCell ref="B1:B2"/>
    <mergeCell ref="C1:C2"/>
    <mergeCell ref="C20:C21"/>
    <mergeCell ref="D1:D2"/>
    <mergeCell ref="D20:D21"/>
    <mergeCell ref="E20:E21"/>
    <mergeCell ref="F20:F21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A1" sqref="$A1:$XFD1048576"/>
    </sheetView>
  </sheetViews>
  <sheetFormatPr defaultColWidth="9" defaultRowHeight="15" outlineLevelCol="5"/>
  <cols>
    <col min="1" max="1" width="10.5714285714286" customWidth="1"/>
    <col min="2" max="2" width="36" style="2" customWidth="1"/>
    <col min="3" max="3" width="19.7142857142857" style="3" customWidth="1"/>
    <col min="4" max="4" width="20.4285714285714" style="3" customWidth="1"/>
    <col min="5" max="5" width="17.5714285714286" style="3" customWidth="1"/>
    <col min="6" max="6" width="10.1428571428571" style="3" customWidth="1"/>
    <col min="7" max="7" width="5.71428571428571" customWidth="1"/>
  </cols>
  <sheetData>
    <row r="1" ht="64.5" spans="1:6">
      <c r="A1" s="4" t="s">
        <v>115</v>
      </c>
      <c r="B1" s="5" t="s">
        <v>116</v>
      </c>
      <c r="C1" s="6" t="s">
        <v>66</v>
      </c>
      <c r="D1" s="6" t="s">
        <v>67</v>
      </c>
      <c r="E1" s="7" t="s">
        <v>117</v>
      </c>
      <c r="F1" s="8" t="s">
        <v>118</v>
      </c>
    </row>
    <row r="2" ht="16.5" spans="1:6">
      <c r="A2" s="9">
        <v>100</v>
      </c>
      <c r="B2" s="10" t="s">
        <v>119</v>
      </c>
      <c r="C2" s="29">
        <f>SUM(C3:C8)</f>
        <v>21649703.37</v>
      </c>
      <c r="D2" s="29">
        <f>SUM(D3:D8)</f>
        <v>8429931.03</v>
      </c>
      <c r="E2" s="30">
        <f>C2-D2</f>
        <v>13219772.34</v>
      </c>
      <c r="F2" s="13">
        <f>D2/C2*100</f>
        <v>38.9378592673069</v>
      </c>
    </row>
    <row r="3" ht="23.25" spans="1:6">
      <c r="A3" s="14">
        <v>102</v>
      </c>
      <c r="B3" s="15" t="s">
        <v>120</v>
      </c>
      <c r="C3" s="16">
        <f>850800+257000</f>
        <v>1107800</v>
      </c>
      <c r="D3" s="16">
        <f>379530.78+106874.2</f>
        <v>486404.98</v>
      </c>
      <c r="E3" s="24">
        <f t="shared" ref="E3:E34" si="0">C3-D3</f>
        <v>621395.02</v>
      </c>
      <c r="F3" s="13">
        <f>D3/C3*100</f>
        <v>43.9072919299513</v>
      </c>
    </row>
    <row r="4" ht="45.75" spans="1:6">
      <c r="A4" s="14">
        <v>104</v>
      </c>
      <c r="B4" s="18" t="s">
        <v>10</v>
      </c>
      <c r="C4" s="16">
        <f>5216700+400+1575400+172700+181000+15850+15000+16149.37+7600</f>
        <v>7200799.37</v>
      </c>
      <c r="D4" s="16">
        <f>2191628.57+600708.33+86822.01+5500+14824.64</f>
        <v>2899483.55</v>
      </c>
      <c r="E4" s="24">
        <f t="shared" si="0"/>
        <v>4301315.82</v>
      </c>
      <c r="F4" s="13">
        <f>D4/C4*100</f>
        <v>40.2661343694679</v>
      </c>
    </row>
    <row r="5" ht="38.25" customHeight="1" spans="1:6">
      <c r="A5" s="19">
        <v>106</v>
      </c>
      <c r="B5" s="20" t="s">
        <v>152</v>
      </c>
      <c r="C5" s="16">
        <v>298000</v>
      </c>
      <c r="D5" s="16">
        <v>149000</v>
      </c>
      <c r="E5" s="24">
        <f t="shared" si="0"/>
        <v>149000</v>
      </c>
      <c r="F5" s="13">
        <f>D5/C5*100</f>
        <v>50</v>
      </c>
    </row>
    <row r="6" ht="25.5" hidden="1" customHeight="1" spans="1:6">
      <c r="A6" s="14">
        <v>107</v>
      </c>
      <c r="B6" s="21" t="s">
        <v>153</v>
      </c>
      <c r="C6" s="16"/>
      <c r="D6" s="16">
        <v>0</v>
      </c>
      <c r="E6" s="24">
        <f t="shared" si="0"/>
        <v>0</v>
      </c>
      <c r="F6" s="13"/>
    </row>
    <row r="7" ht="16.5" spans="1:6">
      <c r="A7" s="19">
        <v>111</v>
      </c>
      <c r="B7" s="22" t="s">
        <v>12</v>
      </c>
      <c r="C7" s="16">
        <v>50000</v>
      </c>
      <c r="D7" s="16">
        <v>0</v>
      </c>
      <c r="E7" s="24">
        <f t="shared" si="0"/>
        <v>50000</v>
      </c>
      <c r="F7" s="13">
        <f t="shared" ref="F7:F41" si="1">D7/C7*100</f>
        <v>0</v>
      </c>
    </row>
    <row r="8" ht="16.5" spans="1:6">
      <c r="A8" s="14">
        <v>113</v>
      </c>
      <c r="B8" s="15" t="s">
        <v>121</v>
      </c>
      <c r="C8" s="16">
        <f>150000+10000+900000+100000+1299300+392400+455000+188000+2884+4104+116+100000+4968800+600+1500400+284000+2584500+25000+18000+10000</f>
        <v>12993104</v>
      </c>
      <c r="D8" s="23">
        <f>286206.13+87800+642168.2+166384.4+170602.43+46250+115.4+1974271.34+250+535082.93+83555.92+882500.44+4097+15730+28.31</f>
        <v>4895042.5</v>
      </c>
      <c r="E8" s="24">
        <f t="shared" si="0"/>
        <v>8098061.5</v>
      </c>
      <c r="F8" s="13">
        <f t="shared" si="1"/>
        <v>37.6741577686133</v>
      </c>
    </row>
    <row r="9" ht="16.5" spans="1:6">
      <c r="A9" s="9">
        <v>200</v>
      </c>
      <c r="B9" s="10" t="s">
        <v>122</v>
      </c>
      <c r="C9" s="29">
        <f>C10</f>
        <v>424700</v>
      </c>
      <c r="D9" s="29">
        <f>D10</f>
        <v>186500.66</v>
      </c>
      <c r="E9" s="30">
        <f t="shared" si="0"/>
        <v>238199.34</v>
      </c>
      <c r="F9" s="13">
        <f t="shared" si="1"/>
        <v>43.9135060042383</v>
      </c>
    </row>
    <row r="10" ht="16.5" spans="1:6">
      <c r="A10" s="14">
        <v>203</v>
      </c>
      <c r="B10" s="15" t="s">
        <v>123</v>
      </c>
      <c r="C10" s="16">
        <f>325880+98420+400</f>
        <v>424700</v>
      </c>
      <c r="D10" s="16">
        <f>147648.58+38852.08</f>
        <v>186500.66</v>
      </c>
      <c r="E10" s="24">
        <f t="shared" si="0"/>
        <v>238199.34</v>
      </c>
      <c r="F10" s="13">
        <f t="shared" si="1"/>
        <v>43.9135060042383</v>
      </c>
    </row>
    <row r="11" ht="21.75" spans="1:6">
      <c r="A11" s="9">
        <v>300</v>
      </c>
      <c r="B11" s="10" t="s">
        <v>124</v>
      </c>
      <c r="C11" s="29">
        <f>SUM(C12:C13)</f>
        <v>120000</v>
      </c>
      <c r="D11" s="29">
        <f>SUM(D12:D13)</f>
        <v>15000</v>
      </c>
      <c r="E11" s="30">
        <f t="shared" si="0"/>
        <v>105000</v>
      </c>
      <c r="F11" s="13">
        <f t="shared" si="1"/>
        <v>12.5</v>
      </c>
    </row>
    <row r="12" ht="34.5" spans="1:6">
      <c r="A12" s="14">
        <v>309</v>
      </c>
      <c r="B12" s="25" t="s">
        <v>125</v>
      </c>
      <c r="C12" s="26">
        <f>5000+45000</f>
        <v>50000</v>
      </c>
      <c r="D12" s="16">
        <v>15000</v>
      </c>
      <c r="E12" s="24">
        <f t="shared" si="0"/>
        <v>35000</v>
      </c>
      <c r="F12" s="13">
        <f t="shared" si="1"/>
        <v>30</v>
      </c>
    </row>
    <row r="13" ht="23.25" spans="1:6">
      <c r="A13" s="14">
        <v>314</v>
      </c>
      <c r="B13" s="27" t="s">
        <v>126</v>
      </c>
      <c r="C13" s="16">
        <f>50000+20000</f>
        <v>70000</v>
      </c>
      <c r="D13" s="16"/>
      <c r="E13" s="24">
        <f t="shared" si="0"/>
        <v>70000</v>
      </c>
      <c r="F13" s="13">
        <f t="shared" si="1"/>
        <v>0</v>
      </c>
    </row>
    <row r="14" ht="16.5" spans="1:6">
      <c r="A14" s="9">
        <v>400</v>
      </c>
      <c r="B14" s="28" t="s">
        <v>127</v>
      </c>
      <c r="C14" s="29">
        <f>SUM(C15:C17)</f>
        <v>21161645.38</v>
      </c>
      <c r="D14" s="29">
        <f>SUM(D16:D17)</f>
        <v>2087715</v>
      </c>
      <c r="E14" s="30">
        <f t="shared" si="0"/>
        <v>19073930.38</v>
      </c>
      <c r="F14" s="13">
        <f t="shared" si="1"/>
        <v>9.86556084137537</v>
      </c>
    </row>
    <row r="15" ht="23.25" spans="1:6">
      <c r="A15" s="14">
        <v>401</v>
      </c>
      <c r="B15" s="15" t="s">
        <v>205</v>
      </c>
      <c r="C15" s="16">
        <f>69800+30200</f>
        <v>100000</v>
      </c>
      <c r="D15" s="29"/>
      <c r="E15" s="24">
        <f t="shared" si="0"/>
        <v>100000</v>
      </c>
      <c r="F15" s="13">
        <f t="shared" si="1"/>
        <v>0</v>
      </c>
    </row>
    <row r="16" ht="16.5" spans="1:6">
      <c r="A16" s="14">
        <v>409</v>
      </c>
      <c r="B16" s="15" t="s">
        <v>27</v>
      </c>
      <c r="C16" s="16">
        <f>5033978.38+600000+48667+2282000+6973258+6003742</f>
        <v>20941645.38</v>
      </c>
      <c r="D16" s="16">
        <f>1942439+135966</f>
        <v>2078405</v>
      </c>
      <c r="E16" s="24">
        <f t="shared" si="0"/>
        <v>18863240.38</v>
      </c>
      <c r="F16" s="13">
        <f t="shared" si="1"/>
        <v>9.9247454642936</v>
      </c>
    </row>
    <row r="17" ht="23.25" spans="1:6">
      <c r="A17" s="14">
        <v>412</v>
      </c>
      <c r="B17" s="15" t="s">
        <v>128</v>
      </c>
      <c r="C17" s="16">
        <f>20000+100000</f>
        <v>120000</v>
      </c>
      <c r="D17" s="16">
        <v>9310</v>
      </c>
      <c r="E17" s="24">
        <f t="shared" si="0"/>
        <v>110690</v>
      </c>
      <c r="F17" s="13">
        <f t="shared" si="1"/>
        <v>7.75833333333333</v>
      </c>
    </row>
    <row r="18" ht="16.5" spans="1:6">
      <c r="A18" s="9">
        <v>500</v>
      </c>
      <c r="B18" s="10" t="s">
        <v>129</v>
      </c>
      <c r="C18" s="29">
        <f>SUM(C19:C20)</f>
        <v>3921900</v>
      </c>
      <c r="D18" s="29">
        <f>SUM(D19:D20)</f>
        <v>3342096.47</v>
      </c>
      <c r="E18" s="30">
        <f t="shared" si="0"/>
        <v>579803.53</v>
      </c>
      <c r="F18" s="13">
        <f t="shared" si="1"/>
        <v>85.2162592110967</v>
      </c>
    </row>
    <row r="19" ht="16.5" spans="1:6">
      <c r="A19" s="14">
        <v>502</v>
      </c>
      <c r="B19" s="15" t="s">
        <v>31</v>
      </c>
      <c r="C19" s="16">
        <f>24000+40000+1987900+1730000+40000+100000</f>
        <v>3921900</v>
      </c>
      <c r="D19" s="16">
        <f>23468.84+9315+1173442.05</f>
        <v>1206225.89</v>
      </c>
      <c r="E19" s="24">
        <f t="shared" si="0"/>
        <v>2715674.11</v>
      </c>
      <c r="F19" s="13">
        <f t="shared" si="1"/>
        <v>30.7561612993702</v>
      </c>
    </row>
    <row r="20" ht="16.5" spans="1:6">
      <c r="A20" s="14">
        <v>503</v>
      </c>
      <c r="B20" s="15" t="s">
        <v>33</v>
      </c>
      <c r="C20" s="16" t="s">
        <v>63</v>
      </c>
      <c r="D20" s="16">
        <f>1525553.58+210000+400317</f>
        <v>2135870.58</v>
      </c>
      <c r="E20" s="24" t="e">
        <f t="shared" si="0"/>
        <v>#VALUE!</v>
      </c>
      <c r="F20" s="13" t="e">
        <f t="shared" si="1"/>
        <v>#VALUE!</v>
      </c>
    </row>
    <row r="21" ht="16.5" spans="1:6">
      <c r="A21" s="9">
        <v>700</v>
      </c>
      <c r="B21" s="10" t="s">
        <v>130</v>
      </c>
      <c r="C21" s="29">
        <f>SUM(C22:C23)</f>
        <v>80000</v>
      </c>
      <c r="D21" s="29">
        <f>SUM(D22:D23)</f>
        <v>10000</v>
      </c>
      <c r="E21" s="30">
        <f t="shared" si="0"/>
        <v>70000</v>
      </c>
      <c r="F21" s="13">
        <f t="shared" si="1"/>
        <v>12.5</v>
      </c>
    </row>
    <row r="22" ht="16.5" spans="1:6">
      <c r="A22" s="14">
        <v>705</v>
      </c>
      <c r="B22" s="15" t="s">
        <v>174</v>
      </c>
      <c r="C22" s="16">
        <v>50000</v>
      </c>
      <c r="D22" s="16">
        <v>10000</v>
      </c>
      <c r="E22" s="24">
        <f t="shared" si="0"/>
        <v>40000</v>
      </c>
      <c r="F22" s="13">
        <f t="shared" si="1"/>
        <v>20</v>
      </c>
    </row>
    <row r="23" ht="16.5" spans="1:6">
      <c r="A23" s="14">
        <v>707</v>
      </c>
      <c r="B23" s="15" t="s">
        <v>35</v>
      </c>
      <c r="C23" s="16">
        <f>30000</f>
        <v>30000</v>
      </c>
      <c r="D23" s="16">
        <v>0</v>
      </c>
      <c r="E23" s="24">
        <f t="shared" si="0"/>
        <v>30000</v>
      </c>
      <c r="F23" s="13">
        <f t="shared" si="1"/>
        <v>0</v>
      </c>
    </row>
    <row r="24" ht="16.5" spans="1:6">
      <c r="A24" s="9">
        <v>800</v>
      </c>
      <c r="B24" s="10" t="s">
        <v>131</v>
      </c>
      <c r="C24" s="29">
        <f>SUM(C25:C26)</f>
        <v>29106950</v>
      </c>
      <c r="D24" s="29">
        <f>SUM(D25:D26)</f>
        <v>3837284.62</v>
      </c>
      <c r="E24" s="30">
        <f t="shared" si="0"/>
        <v>25269665.38</v>
      </c>
      <c r="F24" s="13">
        <f t="shared" si="1"/>
        <v>13.183396474038</v>
      </c>
    </row>
    <row r="25" ht="16.5" spans="1:6">
      <c r="A25" s="14">
        <v>801</v>
      </c>
      <c r="B25" s="15" t="s">
        <v>132</v>
      </c>
      <c r="C25" s="16">
        <f>3755000+600000+20082000+2842300+3500+1474150</f>
        <v>28756950</v>
      </c>
      <c r="D25" s="16">
        <f>1389711.57+1075270.12+1245109.93</f>
        <v>3710091.62</v>
      </c>
      <c r="E25" s="24">
        <f t="shared" si="0"/>
        <v>25046858.38</v>
      </c>
      <c r="F25" s="13">
        <f t="shared" si="1"/>
        <v>12.9015476954267</v>
      </c>
    </row>
    <row r="26" ht="16.5" spans="1:6">
      <c r="A26" s="14">
        <v>804</v>
      </c>
      <c r="B26" s="15" t="s">
        <v>133</v>
      </c>
      <c r="C26" s="16">
        <v>350000</v>
      </c>
      <c r="D26" s="16">
        <f>127193</f>
        <v>127193</v>
      </c>
      <c r="E26" s="24">
        <f t="shared" si="0"/>
        <v>222807</v>
      </c>
      <c r="F26" s="13">
        <f t="shared" si="1"/>
        <v>36.3408571428571</v>
      </c>
    </row>
    <row r="27" ht="16.5" hidden="1" spans="1:6">
      <c r="A27" s="9">
        <v>1000</v>
      </c>
      <c r="B27" s="10" t="s">
        <v>134</v>
      </c>
      <c r="C27" s="29">
        <f>C28</f>
        <v>0</v>
      </c>
      <c r="D27" s="29">
        <f>D28</f>
        <v>0</v>
      </c>
      <c r="E27" s="30">
        <f t="shared" si="0"/>
        <v>0</v>
      </c>
      <c r="F27" s="13" t="e">
        <f t="shared" si="1"/>
        <v>#DIV/0!</v>
      </c>
    </row>
    <row r="28" ht="16.5" hidden="1" spans="1:6">
      <c r="A28" s="14">
        <v>1003</v>
      </c>
      <c r="B28" s="15" t="s">
        <v>135</v>
      </c>
      <c r="C28" s="16">
        <v>0</v>
      </c>
      <c r="D28" s="16">
        <v>0</v>
      </c>
      <c r="E28" s="30">
        <f t="shared" si="0"/>
        <v>0</v>
      </c>
      <c r="F28" s="13" t="e">
        <f t="shared" si="1"/>
        <v>#DIV/0!</v>
      </c>
    </row>
    <row r="29" ht="16.5" spans="1:6">
      <c r="A29" s="14">
        <v>1101</v>
      </c>
      <c r="B29" s="15" t="s">
        <v>212</v>
      </c>
      <c r="C29" s="16">
        <f>200000</f>
        <v>200000</v>
      </c>
      <c r="D29" s="16">
        <v>82716.42</v>
      </c>
      <c r="E29" s="24">
        <v>117283.58</v>
      </c>
      <c r="F29" s="13">
        <f t="shared" si="1"/>
        <v>41.35821</v>
      </c>
    </row>
    <row r="30" ht="16.5" spans="1:6">
      <c r="A30" s="9">
        <v>1100</v>
      </c>
      <c r="B30" s="10" t="s">
        <v>136</v>
      </c>
      <c r="C30" s="29">
        <f>C31+C32+C33+C34</f>
        <v>4886600</v>
      </c>
      <c r="D30" s="29">
        <f>D31+D32+D33+D34</f>
        <v>1005372.49</v>
      </c>
      <c r="E30" s="30">
        <f t="shared" si="0"/>
        <v>3881227.51</v>
      </c>
      <c r="F30" s="13">
        <f t="shared" si="1"/>
        <v>20.5740697008145</v>
      </c>
    </row>
    <row r="31" ht="16.5" spans="1:6">
      <c r="A31" s="14">
        <v>1101</v>
      </c>
      <c r="B31" s="15" t="s">
        <v>137</v>
      </c>
      <c r="C31" s="16">
        <f>1035600</f>
        <v>1035600</v>
      </c>
      <c r="D31" s="31">
        <f>442316.16</f>
        <v>442316.16</v>
      </c>
      <c r="E31" s="24">
        <f t="shared" si="0"/>
        <v>593283.84</v>
      </c>
      <c r="F31" s="13">
        <f t="shared" si="1"/>
        <v>42.711100811124</v>
      </c>
    </row>
    <row r="32" ht="16.5" customHeight="1" spans="1:6">
      <c r="A32" s="14">
        <v>1102</v>
      </c>
      <c r="B32" s="15" t="s">
        <v>150</v>
      </c>
      <c r="C32" s="32">
        <f>3628800</f>
        <v>3628800</v>
      </c>
      <c r="D32" s="33">
        <v>431500</v>
      </c>
      <c r="E32" s="24">
        <f t="shared" si="0"/>
        <v>3197300</v>
      </c>
      <c r="F32" s="13">
        <f t="shared" si="1"/>
        <v>11.8909832451499</v>
      </c>
    </row>
    <row r="33" ht="21.75" customHeight="1" spans="1:6">
      <c r="A33" s="34">
        <v>1204</v>
      </c>
      <c r="B33" s="35" t="s">
        <v>151</v>
      </c>
      <c r="C33" s="36">
        <v>137843.67</v>
      </c>
      <c r="D33" s="37">
        <v>47200</v>
      </c>
      <c r="E33" s="24">
        <f t="shared" si="0"/>
        <v>90643.67</v>
      </c>
      <c r="F33" s="38">
        <f t="shared" si="1"/>
        <v>34.241688428638</v>
      </c>
    </row>
    <row r="34" s="1" customFormat="1" ht="16.5" spans="1:6">
      <c r="A34" s="39">
        <v>1301</v>
      </c>
      <c r="B34" s="40" t="s">
        <v>206</v>
      </c>
      <c r="C34" s="41">
        <v>84356.33</v>
      </c>
      <c r="D34" s="13">
        <v>84356.33</v>
      </c>
      <c r="E34" s="24">
        <f t="shared" si="0"/>
        <v>0</v>
      </c>
      <c r="F34" s="13">
        <f t="shared" si="1"/>
        <v>100</v>
      </c>
    </row>
    <row r="35" ht="23.25" hidden="1" spans="1:6">
      <c r="A35" s="43">
        <v>1300</v>
      </c>
      <c r="B35" s="44" t="s">
        <v>154</v>
      </c>
      <c r="C35" s="45">
        <v>0</v>
      </c>
      <c r="D35" s="45"/>
      <c r="E35" s="30"/>
      <c r="F35" s="46"/>
    </row>
    <row r="36" ht="23.25" hidden="1" spans="1:6">
      <c r="A36" s="47">
        <v>1301</v>
      </c>
      <c r="B36" s="48" t="s">
        <v>154</v>
      </c>
      <c r="C36" s="49">
        <v>0</v>
      </c>
      <c r="D36" s="49">
        <v>0</v>
      </c>
      <c r="E36" s="30">
        <f t="shared" ref="E36:E40" si="2">D36-C36</f>
        <v>0</v>
      </c>
      <c r="F36" s="13" t="e">
        <f t="shared" si="1"/>
        <v>#DIV/0!</v>
      </c>
    </row>
    <row r="37" ht="16.5" hidden="1" spans="1:6">
      <c r="A37" s="50" t="s">
        <v>140</v>
      </c>
      <c r="B37" s="51" t="s">
        <v>141</v>
      </c>
      <c r="C37" s="52">
        <f>C39</f>
        <v>0</v>
      </c>
      <c r="D37" s="53">
        <f>D39</f>
        <v>0</v>
      </c>
      <c r="E37" s="30">
        <f t="shared" si="2"/>
        <v>0</v>
      </c>
      <c r="F37" s="13" t="e">
        <f t="shared" si="1"/>
        <v>#DIV/0!</v>
      </c>
    </row>
    <row r="38" ht="16.5" hidden="1" spans="1:6">
      <c r="A38" s="9"/>
      <c r="B38" s="10" t="s">
        <v>142</v>
      </c>
      <c r="C38" s="54"/>
      <c r="D38" s="54"/>
      <c r="E38" s="30">
        <f t="shared" si="2"/>
        <v>0</v>
      </c>
      <c r="F38" s="13"/>
    </row>
    <row r="39" ht="16.5" hidden="1" spans="1:6">
      <c r="A39" s="55" t="s">
        <v>143</v>
      </c>
      <c r="B39" s="56" t="s">
        <v>144</v>
      </c>
      <c r="C39" s="57">
        <v>0</v>
      </c>
      <c r="D39" s="57">
        <v>0</v>
      </c>
      <c r="E39" s="30">
        <f t="shared" si="2"/>
        <v>0</v>
      </c>
      <c r="F39" s="13" t="e">
        <f t="shared" si="1"/>
        <v>#DIV/0!</v>
      </c>
    </row>
    <row r="40" ht="16.5" hidden="1" spans="1:6">
      <c r="A40" s="14"/>
      <c r="B40" s="15" t="s">
        <v>145</v>
      </c>
      <c r="C40" s="26"/>
      <c r="D40" s="26"/>
      <c r="E40" s="30">
        <f t="shared" si="2"/>
        <v>0</v>
      </c>
      <c r="F40" s="13"/>
    </row>
    <row r="41" ht="16.5" spans="1:6">
      <c r="A41" s="9">
        <v>9800</v>
      </c>
      <c r="B41" s="10" t="s">
        <v>146</v>
      </c>
      <c r="C41" s="29">
        <f>C2+C9+C11+C14+C18+C21+C24+C30+C29</f>
        <v>81551498.75</v>
      </c>
      <c r="D41" s="29">
        <f>D2+D9+D11+D14+D18+D21+D24+D30+D29</f>
        <v>18996616.69</v>
      </c>
      <c r="E41" s="29">
        <f>E2+E9+E11+E14+E18+E21+E24+E30+E29</f>
        <v>62554882.06</v>
      </c>
      <c r="F41" s="13">
        <f t="shared" si="1"/>
        <v>23.294012962576</v>
      </c>
    </row>
  </sheetData>
  <mergeCells count="6">
    <mergeCell ref="A37:A38"/>
    <mergeCell ref="A39:A40"/>
    <mergeCell ref="C37:C38"/>
    <mergeCell ref="C39:C40"/>
    <mergeCell ref="D37:D38"/>
    <mergeCell ref="D39:D40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zoomScale="84" zoomScaleNormal="84" topLeftCell="A26" workbookViewId="0">
      <selection activeCell="E33" sqref="E33"/>
    </sheetView>
  </sheetViews>
  <sheetFormatPr defaultColWidth="9" defaultRowHeight="15" outlineLevelCol="5"/>
  <cols>
    <col min="1" max="1" width="19.4285714285714" customWidth="1"/>
    <col min="2" max="2" width="32.1428571428571" style="2" customWidth="1"/>
    <col min="3" max="3" width="21.2857142857143" style="63" customWidth="1"/>
    <col min="4" max="4" width="19.5714285714286" style="3" customWidth="1"/>
    <col min="5" max="5" width="18.8571428571429" style="3" customWidth="1"/>
    <col min="6" max="6" width="11.7142857142857" customWidth="1"/>
  </cols>
  <sheetData>
    <row r="1" ht="60.75" customHeight="1" spans="1:6">
      <c r="A1" s="64" t="s">
        <v>64</v>
      </c>
      <c r="B1" s="65" t="s">
        <v>65</v>
      </c>
      <c r="C1" s="66" t="s">
        <v>66</v>
      </c>
      <c r="D1" s="67" t="s">
        <v>67</v>
      </c>
      <c r="E1" s="68" t="s">
        <v>68</v>
      </c>
      <c r="F1" s="69" t="s">
        <v>69</v>
      </c>
    </row>
    <row r="2" ht="15.75" spans="1:6">
      <c r="A2" s="70"/>
      <c r="B2" s="71"/>
      <c r="C2" s="72"/>
      <c r="D2" s="73"/>
      <c r="E2" s="74" t="s">
        <v>70</v>
      </c>
      <c r="F2" s="69"/>
    </row>
    <row r="3" s="58" customFormat="1" ht="41.25" hidden="1" customHeight="1" spans="1:6">
      <c r="A3" s="75" t="s">
        <v>175</v>
      </c>
      <c r="B3" s="76" t="s">
        <v>156</v>
      </c>
      <c r="C3" s="77">
        <v>0</v>
      </c>
      <c r="D3" s="78">
        <v>0</v>
      </c>
      <c r="E3" s="79">
        <v>0</v>
      </c>
      <c r="F3" s="80" t="e">
        <f>D3/C3*100</f>
        <v>#DIV/0!</v>
      </c>
    </row>
    <row r="4" hidden="1"/>
    <row r="5" s="59" customFormat="1" ht="130.5" customHeight="1" spans="1:6">
      <c r="A5" s="81" t="s">
        <v>176</v>
      </c>
      <c r="B5" s="82" t="s">
        <v>177</v>
      </c>
      <c r="C5" s="83">
        <v>4050000</v>
      </c>
      <c r="D5" s="84">
        <v>2267670.97</v>
      </c>
      <c r="E5" s="85">
        <f>C5-D5</f>
        <v>1782329.03</v>
      </c>
      <c r="F5" s="86">
        <f t="shared" ref="F5:F45" si="0">D5/C5*100</f>
        <v>55.9918758024691</v>
      </c>
    </row>
    <row r="6" s="59" customFormat="1" ht="149.25" customHeight="1" spans="1:6">
      <c r="A6" s="81" t="s">
        <v>178</v>
      </c>
      <c r="B6" s="82" t="s">
        <v>179</v>
      </c>
      <c r="C6" s="83">
        <v>32000</v>
      </c>
      <c r="D6" s="83">
        <v>15655.05</v>
      </c>
      <c r="E6" s="85">
        <f t="shared" ref="E6:E14" si="1">C6-D6</f>
        <v>16344.95</v>
      </c>
      <c r="F6" s="86">
        <f t="shared" si="0"/>
        <v>48.92203125</v>
      </c>
    </row>
    <row r="7" s="59" customFormat="1" ht="149.25" customHeight="1" spans="1:6">
      <c r="A7" s="81" t="s">
        <v>180</v>
      </c>
      <c r="B7" s="82" t="s">
        <v>181</v>
      </c>
      <c r="C7" s="83">
        <v>3800000</v>
      </c>
      <c r="D7" s="87">
        <v>3023690.75</v>
      </c>
      <c r="E7" s="85">
        <f t="shared" si="1"/>
        <v>776309.25</v>
      </c>
      <c r="F7" s="86">
        <f t="shared" si="0"/>
        <v>79.5708092105263</v>
      </c>
    </row>
    <row r="8" s="59" customFormat="1" ht="149.25" customHeight="1" spans="1:6">
      <c r="A8" s="81" t="s">
        <v>182</v>
      </c>
      <c r="B8" s="82" t="s">
        <v>183</v>
      </c>
      <c r="C8" s="83">
        <v>0</v>
      </c>
      <c r="D8" s="84">
        <v>-442938.81</v>
      </c>
      <c r="E8" s="85">
        <v>0</v>
      </c>
      <c r="F8" s="88" t="e">
        <f t="shared" si="0"/>
        <v>#DIV/0!</v>
      </c>
    </row>
    <row r="9" s="59" customFormat="1" ht="38.25" customHeight="1" spans="1:6">
      <c r="A9" s="81" t="s">
        <v>71</v>
      </c>
      <c r="B9" s="82" t="s">
        <v>72</v>
      </c>
      <c r="C9" s="83">
        <v>12710000</v>
      </c>
      <c r="D9" s="84">
        <v>8612513.17</v>
      </c>
      <c r="E9" s="85">
        <f t="shared" si="1"/>
        <v>4097486.83</v>
      </c>
      <c r="F9" s="86">
        <f t="shared" si="0"/>
        <v>67.7617086546027</v>
      </c>
    </row>
    <row r="10" s="59" customFormat="1" ht="108" customHeight="1" spans="1:6">
      <c r="A10" s="81" t="s">
        <v>184</v>
      </c>
      <c r="B10" s="82" t="s">
        <v>185</v>
      </c>
      <c r="C10" s="83">
        <v>0</v>
      </c>
      <c r="D10" s="84">
        <v>91600.29</v>
      </c>
      <c r="E10" s="85"/>
      <c r="F10" s="88" t="e">
        <f t="shared" si="0"/>
        <v>#DIV/0!</v>
      </c>
    </row>
    <row r="11" s="59" customFormat="1" ht="33" customHeight="1" spans="1:6">
      <c r="A11" s="81" t="s">
        <v>186</v>
      </c>
      <c r="B11" s="82" t="s">
        <v>187</v>
      </c>
      <c r="C11" s="83">
        <v>0</v>
      </c>
      <c r="D11" s="84">
        <v>22752.06</v>
      </c>
      <c r="E11" s="85"/>
      <c r="F11" s="88" t="e">
        <f t="shared" si="0"/>
        <v>#DIV/0!</v>
      </c>
    </row>
    <row r="12" s="59" customFormat="1" ht="88.5" customHeight="1" spans="1:6">
      <c r="A12" s="89" t="s">
        <v>188</v>
      </c>
      <c r="B12" s="90" t="s">
        <v>189</v>
      </c>
      <c r="C12" s="91">
        <v>0</v>
      </c>
      <c r="D12" s="92">
        <v>84981.1</v>
      </c>
      <c r="E12" s="85"/>
      <c r="F12" s="94" t="e">
        <f t="shared" si="0"/>
        <v>#DIV/0!</v>
      </c>
    </row>
    <row r="13" s="59" customFormat="1" ht="25.5" customHeight="1" spans="1:6">
      <c r="A13" s="95" t="s">
        <v>190</v>
      </c>
      <c r="B13" s="96" t="s">
        <v>74</v>
      </c>
      <c r="C13" s="97">
        <v>2208000</v>
      </c>
      <c r="D13" s="98">
        <v>2214129.43</v>
      </c>
      <c r="E13" s="85">
        <v>0</v>
      </c>
      <c r="F13" s="86">
        <f t="shared" si="0"/>
        <v>100.277600996377</v>
      </c>
    </row>
    <row r="14" s="59" customFormat="1" ht="19.5" customHeight="1" spans="1:6">
      <c r="A14" s="95" t="s">
        <v>75</v>
      </c>
      <c r="B14" s="96" t="s">
        <v>76</v>
      </c>
      <c r="C14" s="97">
        <v>5546800</v>
      </c>
      <c r="D14" s="98">
        <v>529692.75</v>
      </c>
      <c r="E14" s="85">
        <f t="shared" si="1"/>
        <v>5017107.25</v>
      </c>
      <c r="F14" s="86">
        <f t="shared" si="0"/>
        <v>9.54951954279945</v>
      </c>
    </row>
    <row r="15" s="59" customFormat="1" ht="13.5" customHeight="1" spans="1:6">
      <c r="A15" s="104" t="s">
        <v>77</v>
      </c>
      <c r="B15" s="96" t="s">
        <v>191</v>
      </c>
      <c r="C15" s="105">
        <f>SUM(C17:C18)</f>
        <v>9568000</v>
      </c>
      <c r="D15" s="106">
        <f>SUM(D17:D18)</f>
        <v>3036096.85</v>
      </c>
      <c r="E15" s="106">
        <f>SUM(E17:E18)</f>
        <v>6531903.15</v>
      </c>
      <c r="F15" s="86">
        <f t="shared" si="0"/>
        <v>31.7317814590301</v>
      </c>
    </row>
    <row r="16" s="59" customFormat="1" ht="13.5" hidden="1" customHeight="1" spans="1:6">
      <c r="A16" s="107"/>
      <c r="B16" s="82" t="s">
        <v>79</v>
      </c>
      <c r="C16" s="108"/>
      <c r="D16" s="109"/>
      <c r="E16" s="109"/>
      <c r="F16" s="110"/>
    </row>
    <row r="17" s="59" customFormat="1" ht="47.25" customHeight="1" spans="1:6">
      <c r="A17" s="81" t="s">
        <v>157</v>
      </c>
      <c r="B17" s="111" t="s">
        <v>158</v>
      </c>
      <c r="C17" s="112">
        <v>4160000</v>
      </c>
      <c r="D17" s="113">
        <v>2442204.11</v>
      </c>
      <c r="E17" s="85">
        <f>C17-D17</f>
        <v>1717795.89</v>
      </c>
      <c r="F17" s="86">
        <f t="shared" si="0"/>
        <v>58.7068295673077</v>
      </c>
    </row>
    <row r="18" s="59" customFormat="1" ht="45.75" spans="1:6">
      <c r="A18" s="81" t="s">
        <v>159</v>
      </c>
      <c r="B18" s="111" t="s">
        <v>160</v>
      </c>
      <c r="C18" s="112">
        <v>5408000</v>
      </c>
      <c r="D18" s="113">
        <v>593892.74</v>
      </c>
      <c r="E18" s="85">
        <f>C18-D18</f>
        <v>4814107.26</v>
      </c>
      <c r="F18" s="86">
        <f t="shared" si="0"/>
        <v>10.9817444526627</v>
      </c>
    </row>
    <row r="19" ht="23.25" spans="1:6">
      <c r="A19" s="114" t="s">
        <v>147</v>
      </c>
      <c r="B19" s="115" t="s">
        <v>85</v>
      </c>
      <c r="C19" s="116">
        <v>0</v>
      </c>
      <c r="D19" s="117" t="s">
        <v>192</v>
      </c>
      <c r="E19" s="130"/>
      <c r="F19" s="131"/>
    </row>
    <row r="20" ht="21" spans="1:6">
      <c r="A20" s="118" t="s">
        <v>86</v>
      </c>
      <c r="B20" s="119" t="s">
        <v>87</v>
      </c>
      <c r="C20" s="120">
        <f>SUM(C22:C24)</f>
        <v>0</v>
      </c>
      <c r="D20" s="121">
        <v>0</v>
      </c>
      <c r="E20" s="121">
        <f>SUM(E22:E24)</f>
        <v>0</v>
      </c>
      <c r="F20" s="156"/>
    </row>
    <row r="21" ht="15.75" customHeight="1" spans="1:6">
      <c r="A21" s="114"/>
      <c r="B21" s="122" t="s">
        <v>79</v>
      </c>
      <c r="C21" s="123"/>
      <c r="D21" s="124"/>
      <c r="E21" s="157"/>
      <c r="F21" s="158"/>
    </row>
    <row r="22" ht="38.25" customHeight="1" spans="1:6">
      <c r="A22" s="114" t="s">
        <v>88</v>
      </c>
      <c r="B22" s="115" t="s">
        <v>89</v>
      </c>
      <c r="C22" s="116">
        <v>0</v>
      </c>
      <c r="D22" s="125">
        <v>0</v>
      </c>
      <c r="E22" s="159">
        <f t="shared" ref="E22:E32" si="2">C22-D22</f>
        <v>0</v>
      </c>
      <c r="F22" s="131"/>
    </row>
    <row r="23" ht="48" customHeight="1" spans="1:6">
      <c r="A23" s="114" t="s">
        <v>90</v>
      </c>
      <c r="B23" s="115" t="s">
        <v>91</v>
      </c>
      <c r="C23" s="116">
        <v>0</v>
      </c>
      <c r="D23" s="126">
        <v>0</v>
      </c>
      <c r="E23" s="130">
        <f t="shared" si="2"/>
        <v>0</v>
      </c>
      <c r="F23" s="131"/>
    </row>
    <row r="24" ht="43.5" customHeight="1" spans="1:6">
      <c r="A24" s="114" t="s">
        <v>92</v>
      </c>
      <c r="B24" s="115" t="s">
        <v>93</v>
      </c>
      <c r="C24" s="116">
        <v>0</v>
      </c>
      <c r="D24" s="113">
        <v>0</v>
      </c>
      <c r="E24" s="130">
        <f t="shared" si="2"/>
        <v>0</v>
      </c>
      <c r="F24" s="131"/>
    </row>
    <row r="25" s="59" customFormat="1" ht="36" customHeight="1" spans="1:6">
      <c r="A25" s="81" t="s">
        <v>94</v>
      </c>
      <c r="B25" s="82" t="s">
        <v>95</v>
      </c>
      <c r="C25" s="83">
        <v>61204</v>
      </c>
      <c r="D25" s="84">
        <v>50076</v>
      </c>
      <c r="E25" s="85">
        <f t="shared" si="2"/>
        <v>11128</v>
      </c>
      <c r="F25" s="86">
        <f t="shared" si="0"/>
        <v>81.8181818181818</v>
      </c>
    </row>
    <row r="26" s="59" customFormat="1" ht="85.5" customHeight="1" spans="1:6">
      <c r="A26" s="81" t="s">
        <v>193</v>
      </c>
      <c r="B26" s="82" t="s">
        <v>194</v>
      </c>
      <c r="C26" s="83">
        <v>0</v>
      </c>
      <c r="D26" s="84">
        <v>8000</v>
      </c>
      <c r="E26" s="85">
        <v>0</v>
      </c>
      <c r="F26" s="88" t="e">
        <f t="shared" si="0"/>
        <v>#DIV/0!</v>
      </c>
    </row>
    <row r="27" s="59" customFormat="1" ht="83.25" customHeight="1" spans="1:6">
      <c r="A27" s="81" t="s">
        <v>195</v>
      </c>
      <c r="B27" s="82" t="s">
        <v>196</v>
      </c>
      <c r="C27" s="83">
        <v>10000</v>
      </c>
      <c r="D27" s="84">
        <v>0</v>
      </c>
      <c r="E27" s="85">
        <v>10000</v>
      </c>
      <c r="F27" s="86">
        <f t="shared" si="0"/>
        <v>0</v>
      </c>
    </row>
    <row r="28" ht="55.5" customHeight="1" spans="1:6">
      <c r="A28" s="114" t="s">
        <v>98</v>
      </c>
      <c r="B28" s="127" t="s">
        <v>99</v>
      </c>
      <c r="C28" s="128" t="s">
        <v>192</v>
      </c>
      <c r="D28" s="129" t="s">
        <v>192</v>
      </c>
      <c r="E28" s="130" t="s">
        <v>192</v>
      </c>
      <c r="F28" s="160" t="e">
        <f t="shared" si="0"/>
        <v>#VALUE!</v>
      </c>
    </row>
    <row r="29" ht="24.75" customHeight="1" spans="1:6">
      <c r="A29" s="114" t="s">
        <v>100</v>
      </c>
      <c r="B29" s="127" t="s">
        <v>101</v>
      </c>
      <c r="C29" s="128">
        <v>0</v>
      </c>
      <c r="D29" s="129">
        <v>0</v>
      </c>
      <c r="E29" s="130">
        <f t="shared" si="2"/>
        <v>0</v>
      </c>
      <c r="F29" s="131"/>
    </row>
    <row r="30" ht="28.5" customHeight="1" spans="1:6">
      <c r="A30" s="114" t="s">
        <v>148</v>
      </c>
      <c r="B30" s="127" t="s">
        <v>149</v>
      </c>
      <c r="C30" s="128">
        <v>0</v>
      </c>
      <c r="D30" s="129">
        <v>0</v>
      </c>
      <c r="E30" s="130">
        <f t="shared" si="2"/>
        <v>0</v>
      </c>
      <c r="F30" s="131"/>
    </row>
    <row r="31" ht="33.75" customHeight="1" spans="1:6">
      <c r="A31" s="114" t="s">
        <v>103</v>
      </c>
      <c r="B31" s="127" t="s">
        <v>104</v>
      </c>
      <c r="C31" s="128">
        <v>0</v>
      </c>
      <c r="D31" s="129">
        <v>0</v>
      </c>
      <c r="E31" s="130">
        <f t="shared" si="2"/>
        <v>0</v>
      </c>
      <c r="F31" s="131"/>
    </row>
    <row r="32" ht="37.5" customHeight="1" spans="1:6">
      <c r="A32" s="114" t="s">
        <v>105</v>
      </c>
      <c r="B32" s="127" t="s">
        <v>106</v>
      </c>
      <c r="C32" s="128">
        <v>0</v>
      </c>
      <c r="D32" s="129">
        <v>0</v>
      </c>
      <c r="E32" s="130">
        <f t="shared" si="2"/>
        <v>0</v>
      </c>
      <c r="F32" s="131"/>
    </row>
    <row r="33" ht="15.75" customHeight="1" spans="1:6">
      <c r="A33" s="132" t="s">
        <v>109</v>
      </c>
      <c r="B33" s="133"/>
      <c r="C33" s="134">
        <f>C9+C5+C6+C7+C8+C10+C11+C13+C14+C15+C25+C26+C27</f>
        <v>37986004</v>
      </c>
      <c r="D33" s="134">
        <f>D9+D5+D6+D7+D8+D10+D11+D13+D14+D15+D25+D26+D27+D12</f>
        <v>19513919.61</v>
      </c>
      <c r="E33" s="134">
        <f>E9+E5+E6+E7+E8+E10+E11+E13+E14+E15+E25+E26+E27+E12</f>
        <v>18242608.46</v>
      </c>
      <c r="F33" s="131">
        <f t="shared" si="0"/>
        <v>51.3713409022965</v>
      </c>
    </row>
    <row r="34" s="60" customFormat="1" ht="16.5" spans="1:6">
      <c r="A34" s="135" t="s">
        <v>197</v>
      </c>
      <c r="B34" s="10" t="s">
        <v>198</v>
      </c>
      <c r="C34" s="136">
        <f>C35+C38+C39+C40+C36+C41+C37+C42</f>
        <v>45555400</v>
      </c>
      <c r="D34" s="136">
        <f>D35+D38+D39+D40+D36+D41+D37+D42</f>
        <v>31980600.23</v>
      </c>
      <c r="E34" s="136">
        <f>E35+E38+E39+E40+E36+E41+E37+E42</f>
        <v>13574799.77</v>
      </c>
      <c r="F34" s="137">
        <f t="shared" si="0"/>
        <v>70.2015572906834</v>
      </c>
    </row>
    <row r="35" s="61" customFormat="1" ht="34.5" spans="1:6">
      <c r="A35" s="138" t="s">
        <v>199</v>
      </c>
      <c r="B35" s="111" t="s">
        <v>200</v>
      </c>
      <c r="C35" s="139">
        <v>7832000</v>
      </c>
      <c r="D35" s="112">
        <v>7832000</v>
      </c>
      <c r="E35" s="140">
        <f>C35-D35</f>
        <v>0</v>
      </c>
      <c r="F35" s="141">
        <f t="shared" si="0"/>
        <v>100</v>
      </c>
    </row>
    <row r="36" s="61" customFormat="1" ht="23.25" spans="1:6">
      <c r="A36" s="138" t="s">
        <v>207</v>
      </c>
      <c r="B36" s="111" t="s">
        <v>208</v>
      </c>
      <c r="C36" s="139">
        <v>4500000</v>
      </c>
      <c r="D36" s="112">
        <v>4500000</v>
      </c>
      <c r="E36" s="140">
        <f>C36-D36</f>
        <v>0</v>
      </c>
      <c r="F36" s="141">
        <f t="shared" si="0"/>
        <v>100</v>
      </c>
    </row>
    <row r="37" s="61" customFormat="1" ht="34.5" spans="1:6">
      <c r="A37" s="138" t="s">
        <v>209</v>
      </c>
      <c r="B37" s="111" t="s">
        <v>210</v>
      </c>
      <c r="C37" s="139">
        <v>18072000</v>
      </c>
      <c r="D37" s="112">
        <v>18072000</v>
      </c>
      <c r="E37" s="140">
        <f>C37-D37</f>
        <v>0</v>
      </c>
      <c r="F37" s="141">
        <f t="shared" si="0"/>
        <v>100</v>
      </c>
    </row>
    <row r="38" s="61" customFormat="1" ht="28.5" customHeight="1" spans="1:6">
      <c r="A38" s="142" t="s">
        <v>201</v>
      </c>
      <c r="B38" s="143" t="s">
        <v>164</v>
      </c>
      <c r="C38" s="144">
        <v>13507700</v>
      </c>
      <c r="D38" s="112">
        <v>1056097.84</v>
      </c>
      <c r="E38" s="140">
        <f>C38-D38</f>
        <v>12451602.16</v>
      </c>
      <c r="F38" s="141">
        <f t="shared" si="0"/>
        <v>7.81848752933512</v>
      </c>
    </row>
    <row r="39" s="61" customFormat="1" ht="30.75" customHeight="1" spans="1:6">
      <c r="A39" s="145" t="s">
        <v>202</v>
      </c>
      <c r="B39" s="146" t="s">
        <v>166</v>
      </c>
      <c r="C39" s="147">
        <v>7600</v>
      </c>
      <c r="D39" s="112">
        <v>0</v>
      </c>
      <c r="E39" s="140">
        <f t="shared" ref="E39:E41" si="3">C39-D39</f>
        <v>7600</v>
      </c>
      <c r="F39" s="148">
        <f t="shared" si="0"/>
        <v>0</v>
      </c>
    </row>
    <row r="40" s="61" customFormat="1" ht="30.75" customHeight="1" spans="1:6">
      <c r="A40" s="145" t="s">
        <v>203</v>
      </c>
      <c r="B40" s="146" t="s">
        <v>168</v>
      </c>
      <c r="C40" s="147">
        <v>486100</v>
      </c>
      <c r="D40" s="112">
        <v>308392.03</v>
      </c>
      <c r="E40" s="140">
        <f t="shared" si="3"/>
        <v>177707.97</v>
      </c>
      <c r="F40" s="148">
        <f t="shared" si="0"/>
        <v>63.4420962764863</v>
      </c>
    </row>
    <row r="41" s="61" customFormat="1" ht="33.75" customHeight="1" spans="1:6">
      <c r="A41" s="145" t="s">
        <v>211</v>
      </c>
      <c r="B41" s="146" t="s">
        <v>170</v>
      </c>
      <c r="C41" s="149">
        <v>1050000</v>
      </c>
      <c r="D41" s="112">
        <v>112110.36</v>
      </c>
      <c r="E41" s="140">
        <f t="shared" si="3"/>
        <v>937889.64</v>
      </c>
      <c r="F41" s="148">
        <f t="shared" ref="F41:F42" si="4">D41/C41*100</f>
        <v>10.6771771428571</v>
      </c>
    </row>
    <row r="42" s="59" customFormat="1" ht="16.5" spans="1:6">
      <c r="A42" s="81" t="s">
        <v>204</v>
      </c>
      <c r="B42" s="111" t="s">
        <v>172</v>
      </c>
      <c r="C42" s="112">
        <v>100000</v>
      </c>
      <c r="D42" s="112">
        <v>100000</v>
      </c>
      <c r="E42" s="85">
        <v>0</v>
      </c>
      <c r="F42" s="148">
        <f t="shared" si="4"/>
        <v>100</v>
      </c>
    </row>
    <row r="43" s="62" customFormat="1" ht="47.25" customHeight="1" spans="1:6">
      <c r="A43" s="150" t="s">
        <v>107</v>
      </c>
      <c r="B43" s="151" t="s">
        <v>108</v>
      </c>
      <c r="C43" s="152">
        <v>0</v>
      </c>
      <c r="D43" s="152">
        <v>0</v>
      </c>
      <c r="E43" s="153">
        <f>C43-D43</f>
        <v>0</v>
      </c>
      <c r="F43" s="154"/>
    </row>
    <row r="44" ht="16.5" spans="1:6">
      <c r="A44" s="132" t="s">
        <v>112</v>
      </c>
      <c r="B44" s="133"/>
      <c r="C44" s="134">
        <f>C34</f>
        <v>45555400</v>
      </c>
      <c r="D44" s="134">
        <f>D34</f>
        <v>31980600.23</v>
      </c>
      <c r="E44" s="134">
        <f>E34</f>
        <v>13574799.77</v>
      </c>
      <c r="F44" s="131">
        <f t="shared" si="0"/>
        <v>70.2015572906834</v>
      </c>
    </row>
    <row r="45" ht="28.5" customHeight="1" spans="1:6">
      <c r="A45" s="132" t="s">
        <v>113</v>
      </c>
      <c r="B45" s="133"/>
      <c r="C45" s="134">
        <f>C33+C44</f>
        <v>83541404</v>
      </c>
      <c r="D45" s="134">
        <f>D33+D44</f>
        <v>51494519.84</v>
      </c>
      <c r="E45" s="134">
        <f>E33+E44</f>
        <v>31817408.23</v>
      </c>
      <c r="F45" s="131">
        <f t="shared" si="0"/>
        <v>61.639519297521</v>
      </c>
    </row>
  </sheetData>
  <mergeCells count="12">
    <mergeCell ref="A33:B33"/>
    <mergeCell ref="A44:B44"/>
    <mergeCell ref="A45:B45"/>
    <mergeCell ref="A1:A2"/>
    <mergeCell ref="A20:A21"/>
    <mergeCell ref="B1:B2"/>
    <mergeCell ref="C1:C2"/>
    <mergeCell ref="C20:C21"/>
    <mergeCell ref="D1:D2"/>
    <mergeCell ref="D20:D21"/>
    <mergeCell ref="E20:E21"/>
    <mergeCell ref="F20:F21"/>
  </mergeCells>
  <pageMargins left="0.236220472440945" right="0.236220472440945" top="0.748031496062992" bottom="0.748031496062992" header="0.31496062992126" footer="0.31496062992126"/>
  <pageSetup paperSize="9" scale="65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1"/>
  <sheetViews>
    <sheetView workbookViewId="0">
      <selection activeCell="A1" sqref="$A1:$XFD1048576"/>
    </sheetView>
  </sheetViews>
  <sheetFormatPr defaultColWidth="9" defaultRowHeight="15"/>
  <cols>
    <col min="1" max="1" width="10.5714285714286" customWidth="1"/>
    <col min="2" max="2" width="36" style="2" customWidth="1"/>
    <col min="3" max="3" width="19.7142857142857" style="3" customWidth="1"/>
    <col min="4" max="4" width="20.4285714285714" style="3" customWidth="1"/>
    <col min="5" max="5" width="17.5714285714286" style="3" customWidth="1"/>
    <col min="6" max="6" width="10.1428571428571" style="3" customWidth="1"/>
    <col min="7" max="7" width="5.71428571428571" customWidth="1"/>
  </cols>
  <sheetData>
    <row r="1" ht="64.5" spans="1:6">
      <c r="A1" s="4" t="s">
        <v>115</v>
      </c>
      <c r="B1" s="5" t="s">
        <v>116</v>
      </c>
      <c r="C1" s="6" t="s">
        <v>66</v>
      </c>
      <c r="D1" s="6" t="s">
        <v>67</v>
      </c>
      <c r="E1" s="7" t="s">
        <v>117</v>
      </c>
      <c r="F1" s="8" t="s">
        <v>118</v>
      </c>
    </row>
    <row r="2" ht="16.5" spans="1:6">
      <c r="A2" s="9">
        <v>100</v>
      </c>
      <c r="B2" s="10" t="s">
        <v>119</v>
      </c>
      <c r="C2" s="29">
        <f>SUM(C3:C8)</f>
        <v>22649703.37</v>
      </c>
      <c r="D2" s="29">
        <f>SUM(D3:D8)</f>
        <v>13206950.15</v>
      </c>
      <c r="E2" s="30">
        <f>C2-D2</f>
        <v>9442753.22</v>
      </c>
      <c r="F2" s="13">
        <f>D2/C2*100</f>
        <v>58.3095943211904</v>
      </c>
    </row>
    <row r="3" ht="23.25" spans="1:6">
      <c r="A3" s="14">
        <v>102</v>
      </c>
      <c r="B3" s="15" t="s">
        <v>120</v>
      </c>
      <c r="C3" s="16">
        <f>850800+257000</f>
        <v>1107800</v>
      </c>
      <c r="D3" s="16">
        <f>585846.61+168854.56</f>
        <v>754701.17</v>
      </c>
      <c r="E3" s="17">
        <f t="shared" ref="E3:E34" si="0">C3-D3</f>
        <v>353098.83</v>
      </c>
      <c r="F3" s="13">
        <f>D3/C3*100</f>
        <v>68.1261211410002</v>
      </c>
    </row>
    <row r="4" ht="45.75" spans="1:6">
      <c r="A4" s="14">
        <v>104</v>
      </c>
      <c r="B4" s="18" t="s">
        <v>10</v>
      </c>
      <c r="C4" s="16">
        <f>5216700+400+1575400+172700+181000+15850+15000+16149.37+7600</f>
        <v>7200799.37</v>
      </c>
      <c r="D4" s="16">
        <f>3367137.26+969035.15+108426.41+5500+14824.64</f>
        <v>4464923.46</v>
      </c>
      <c r="E4" s="17">
        <f t="shared" si="0"/>
        <v>2735875.91</v>
      </c>
      <c r="F4" s="13">
        <f>D4/C4*100</f>
        <v>62.0059417097744</v>
      </c>
    </row>
    <row r="5" ht="38.25" customHeight="1" spans="1:6">
      <c r="A5" s="19">
        <v>106</v>
      </c>
      <c r="B5" s="20" t="s">
        <v>152</v>
      </c>
      <c r="C5" s="16">
        <v>298000</v>
      </c>
      <c r="D5" s="16">
        <v>149000</v>
      </c>
      <c r="E5" s="17">
        <f t="shared" si="0"/>
        <v>149000</v>
      </c>
      <c r="F5" s="13">
        <f>D5/C5*100</f>
        <v>50</v>
      </c>
    </row>
    <row r="6" ht="25.5" hidden="1" customHeight="1" spans="1:6">
      <c r="A6" s="14">
        <v>107</v>
      </c>
      <c r="B6" s="21" t="s">
        <v>153</v>
      </c>
      <c r="C6" s="16"/>
      <c r="D6" s="16">
        <v>0</v>
      </c>
      <c r="E6" s="17">
        <f t="shared" si="0"/>
        <v>0</v>
      </c>
      <c r="F6" s="13"/>
    </row>
    <row r="7" ht="16.5" spans="1:6">
      <c r="A7" s="19">
        <v>111</v>
      </c>
      <c r="B7" s="22" t="s">
        <v>12</v>
      </c>
      <c r="C7" s="16">
        <v>50000</v>
      </c>
      <c r="D7" s="16">
        <v>0</v>
      </c>
      <c r="E7" s="17">
        <f t="shared" si="0"/>
        <v>50000</v>
      </c>
      <c r="F7" s="13">
        <f t="shared" ref="F7:F41" si="1">D7/C7*100</f>
        <v>0</v>
      </c>
    </row>
    <row r="8" ht="16.5" spans="1:6">
      <c r="A8" s="14">
        <v>113</v>
      </c>
      <c r="B8" s="15" t="s">
        <v>121</v>
      </c>
      <c r="C8" s="16">
        <f>150000+10000+1100000+200000+1364300+392400+425000+153000+2884+4104+116+100000+4968800+600+1500400+284000+2584500+25000+18000+10000+700000</f>
        <v>13993104</v>
      </c>
      <c r="D8" s="23">
        <f>150000+677818.45+87800+959249.98+270228.01+252757.07+46250+115.4+2980823.61+400+845176.3+130333.52+1409323.87+12291+15730+28.31</f>
        <v>7838325.52</v>
      </c>
      <c r="E8" s="17">
        <f t="shared" si="0"/>
        <v>6154778.48</v>
      </c>
      <c r="F8" s="13">
        <f t="shared" si="1"/>
        <v>56.0156311280185</v>
      </c>
    </row>
    <row r="9" ht="16.5" spans="1:6">
      <c r="A9" s="9">
        <v>200</v>
      </c>
      <c r="B9" s="10" t="s">
        <v>122</v>
      </c>
      <c r="C9" s="29">
        <f>C10</f>
        <v>486100</v>
      </c>
      <c r="D9" s="29">
        <f>D10</f>
        <v>308392.03</v>
      </c>
      <c r="E9" s="155">
        <f t="shared" si="0"/>
        <v>177707.97</v>
      </c>
      <c r="F9" s="13">
        <f t="shared" si="1"/>
        <v>63.4420962764863</v>
      </c>
    </row>
    <row r="10" ht="16.5" spans="1:6">
      <c r="A10" s="14">
        <v>203</v>
      </c>
      <c r="B10" s="15" t="s">
        <v>123</v>
      </c>
      <c r="C10" s="16">
        <f>373038+112662+400</f>
        <v>486100</v>
      </c>
      <c r="D10" s="16">
        <f>244089.73+64302.3</f>
        <v>308392.03</v>
      </c>
      <c r="E10" s="24">
        <f t="shared" si="0"/>
        <v>177707.97</v>
      </c>
      <c r="F10" s="13">
        <f t="shared" si="1"/>
        <v>63.4420962764863</v>
      </c>
    </row>
    <row r="11" ht="21.75" spans="1:6">
      <c r="A11" s="9">
        <v>300</v>
      </c>
      <c r="B11" s="10" t="s">
        <v>124</v>
      </c>
      <c r="C11" s="29">
        <f>SUM(C12:C13)</f>
        <v>120000</v>
      </c>
      <c r="D11" s="29">
        <f>SUM(D12:D13)</f>
        <v>30000</v>
      </c>
      <c r="E11" s="155">
        <f t="shared" si="0"/>
        <v>90000</v>
      </c>
      <c r="F11" s="13">
        <f t="shared" si="1"/>
        <v>25</v>
      </c>
    </row>
    <row r="12" ht="34.5" spans="1:6">
      <c r="A12" s="14">
        <v>309</v>
      </c>
      <c r="B12" s="25" t="s">
        <v>125</v>
      </c>
      <c r="C12" s="26">
        <f>5000+45000</f>
        <v>50000</v>
      </c>
      <c r="D12" s="16">
        <v>30000</v>
      </c>
      <c r="E12" s="24">
        <f t="shared" si="0"/>
        <v>20000</v>
      </c>
      <c r="F12" s="13">
        <f t="shared" si="1"/>
        <v>60</v>
      </c>
    </row>
    <row r="13" ht="23.25" spans="1:6">
      <c r="A13" s="14">
        <v>314</v>
      </c>
      <c r="B13" s="27" t="s">
        <v>126</v>
      </c>
      <c r="C13" s="16">
        <f>70000</f>
        <v>70000</v>
      </c>
      <c r="D13" s="16"/>
      <c r="E13" s="24">
        <f t="shared" si="0"/>
        <v>70000</v>
      </c>
      <c r="F13" s="13">
        <f t="shared" si="1"/>
        <v>0</v>
      </c>
    </row>
    <row r="14" ht="16.5" spans="1:6">
      <c r="A14" s="9">
        <v>400</v>
      </c>
      <c r="B14" s="28" t="s">
        <v>127</v>
      </c>
      <c r="C14" s="29">
        <f>SUM(C15:C17)</f>
        <v>21046645.38</v>
      </c>
      <c r="D14" s="29">
        <f>SUM(D16:D17)</f>
        <v>2986466</v>
      </c>
      <c r="E14" s="155">
        <f t="shared" si="0"/>
        <v>18060179.38</v>
      </c>
      <c r="F14" s="13">
        <f t="shared" si="1"/>
        <v>14.1897482761692</v>
      </c>
    </row>
    <row r="15" ht="23.25" spans="1:6">
      <c r="A15" s="14">
        <v>401</v>
      </c>
      <c r="B15" s="15" t="s">
        <v>205</v>
      </c>
      <c r="C15" s="16">
        <v>0</v>
      </c>
      <c r="D15" s="29"/>
      <c r="E15" s="24">
        <f t="shared" si="0"/>
        <v>0</v>
      </c>
      <c r="F15" s="13" t="e">
        <f t="shared" si="1"/>
        <v>#DIV/0!</v>
      </c>
    </row>
    <row r="16" ht="16.5" spans="1:6">
      <c r="A16" s="14">
        <v>409</v>
      </c>
      <c r="B16" s="15" t="s">
        <v>27</v>
      </c>
      <c r="C16" s="16">
        <f>4863978.38+600000+48667+2282000+6973258+6173742</f>
        <v>20941645.38</v>
      </c>
      <c r="D16" s="16">
        <f>2725822+251334</f>
        <v>2977156</v>
      </c>
      <c r="E16" s="24">
        <f t="shared" si="0"/>
        <v>17964489.38</v>
      </c>
      <c r="F16" s="13">
        <f t="shared" si="1"/>
        <v>14.2164378489729</v>
      </c>
    </row>
    <row r="17" ht="23.25" spans="1:6">
      <c r="A17" s="14">
        <v>412</v>
      </c>
      <c r="B17" s="15" t="s">
        <v>128</v>
      </c>
      <c r="C17" s="16">
        <f>5000+100000</f>
        <v>105000</v>
      </c>
      <c r="D17" s="16">
        <v>9310</v>
      </c>
      <c r="E17" s="24">
        <f t="shared" si="0"/>
        <v>95690</v>
      </c>
      <c r="F17" s="13">
        <f t="shared" si="1"/>
        <v>8.86666666666667</v>
      </c>
    </row>
    <row r="18" ht="16.5" spans="1:6">
      <c r="A18" s="9">
        <v>500</v>
      </c>
      <c r="B18" s="10" t="s">
        <v>129</v>
      </c>
      <c r="C18" s="29">
        <f>SUM(C19:C20)</f>
        <v>10958535</v>
      </c>
      <c r="D18" s="29">
        <f>SUM(D19:D20)</f>
        <v>6123467.18</v>
      </c>
      <c r="E18" s="155">
        <f t="shared" si="0"/>
        <v>4835067.82</v>
      </c>
      <c r="F18" s="13">
        <f t="shared" si="1"/>
        <v>55.8785200759043</v>
      </c>
    </row>
    <row r="19" ht="16.5" spans="1:6">
      <c r="A19" s="14">
        <v>502</v>
      </c>
      <c r="B19" s="15" t="s">
        <v>31</v>
      </c>
      <c r="C19" s="16">
        <f>24000+140000+1887900+200000+1440000</f>
        <v>3691900</v>
      </c>
      <c r="D19" s="16">
        <f>23468.84+87869.18+1173442.05+989200</f>
        <v>2273980.07</v>
      </c>
      <c r="E19" s="24">
        <f t="shared" si="0"/>
        <v>1417919.93</v>
      </c>
      <c r="F19" s="13">
        <f t="shared" si="1"/>
        <v>61.5937612069666</v>
      </c>
    </row>
    <row r="20" ht="16.5" spans="1:6">
      <c r="A20" s="14">
        <v>503</v>
      </c>
      <c r="B20" s="15" t="s">
        <v>33</v>
      </c>
      <c r="C20" s="16">
        <f>3442500+1151335+550000+1872800+250000</f>
        <v>7266635</v>
      </c>
      <c r="D20" s="16">
        <f>2672740.11+330001+846746</f>
        <v>3849487.11</v>
      </c>
      <c r="E20" s="24">
        <f t="shared" si="0"/>
        <v>3417147.89</v>
      </c>
      <c r="F20" s="13">
        <f t="shared" si="1"/>
        <v>52.974824110472</v>
      </c>
    </row>
    <row r="21" ht="16.5" spans="1:6">
      <c r="A21" s="9">
        <v>700</v>
      </c>
      <c r="B21" s="10" t="s">
        <v>130</v>
      </c>
      <c r="C21" s="29">
        <f>SUM(C22:C23)</f>
        <v>80000</v>
      </c>
      <c r="D21" s="29">
        <f>SUM(D22:D23)</f>
        <v>10000</v>
      </c>
      <c r="E21" s="155">
        <f t="shared" si="0"/>
        <v>70000</v>
      </c>
      <c r="F21" s="13">
        <f t="shared" si="1"/>
        <v>12.5</v>
      </c>
    </row>
    <row r="22" ht="16.5" spans="1:6">
      <c r="A22" s="14">
        <v>705</v>
      </c>
      <c r="B22" s="15" t="s">
        <v>174</v>
      </c>
      <c r="C22" s="16">
        <v>50000</v>
      </c>
      <c r="D22" s="16">
        <v>10000</v>
      </c>
      <c r="E22" s="24">
        <f t="shared" si="0"/>
        <v>40000</v>
      </c>
      <c r="F22" s="13">
        <f t="shared" si="1"/>
        <v>20</v>
      </c>
    </row>
    <row r="23" ht="16.5" spans="1:6">
      <c r="A23" s="14">
        <v>707</v>
      </c>
      <c r="B23" s="15" t="s">
        <v>35</v>
      </c>
      <c r="C23" s="16">
        <f>30000</f>
        <v>30000</v>
      </c>
      <c r="D23" s="16">
        <v>0</v>
      </c>
      <c r="E23" s="24">
        <f t="shared" si="0"/>
        <v>30000</v>
      </c>
      <c r="F23" s="13">
        <f t="shared" si="1"/>
        <v>0</v>
      </c>
    </row>
    <row r="24" ht="16.5" spans="1:6">
      <c r="A24" s="9">
        <v>800</v>
      </c>
      <c r="B24" s="10" t="s">
        <v>131</v>
      </c>
      <c r="C24" s="29">
        <f>SUM(C25:C26)</f>
        <v>29386950</v>
      </c>
      <c r="D24" s="29">
        <f>SUM(D25:D26)</f>
        <v>25160038.71</v>
      </c>
      <c r="E24" s="30">
        <f t="shared" si="0"/>
        <v>4226911.29</v>
      </c>
      <c r="F24" s="13">
        <f t="shared" si="1"/>
        <v>85.6163661421141</v>
      </c>
    </row>
    <row r="25" ht="16.5" spans="1:6">
      <c r="A25" s="14">
        <v>801</v>
      </c>
      <c r="B25" s="15" t="s">
        <v>132</v>
      </c>
      <c r="C25" s="16">
        <f>3755000+800000+20080000+2842300+3500+1474150</f>
        <v>28954950</v>
      </c>
      <c r="D25" s="16">
        <f>2013927.54+112110.36+20080000+1562644.28+1653.6+1245109.93</f>
        <v>25015445.71</v>
      </c>
      <c r="E25" s="17">
        <f t="shared" si="0"/>
        <v>3939504.29</v>
      </c>
      <c r="F25" s="13">
        <f t="shared" si="1"/>
        <v>86.3943668008406</v>
      </c>
    </row>
    <row r="26" ht="16.5" spans="1:6">
      <c r="A26" s="14">
        <v>804</v>
      </c>
      <c r="B26" s="15" t="s">
        <v>133</v>
      </c>
      <c r="C26" s="16">
        <v>432000</v>
      </c>
      <c r="D26" s="16">
        <v>144593</v>
      </c>
      <c r="E26" s="17">
        <f t="shared" si="0"/>
        <v>287407</v>
      </c>
      <c r="F26" s="13">
        <f t="shared" si="1"/>
        <v>33.4706018518519</v>
      </c>
    </row>
    <row r="27" ht="16.5" hidden="1" spans="1:6">
      <c r="A27" s="9">
        <v>1000</v>
      </c>
      <c r="B27" s="10" t="s">
        <v>134</v>
      </c>
      <c r="C27" s="29">
        <f>C28</f>
        <v>0</v>
      </c>
      <c r="D27" s="29">
        <f>D28</f>
        <v>0</v>
      </c>
      <c r="E27" s="17">
        <f t="shared" si="0"/>
        <v>0</v>
      </c>
      <c r="F27" s="13" t="e">
        <f t="shared" si="1"/>
        <v>#DIV/0!</v>
      </c>
    </row>
    <row r="28" ht="16.5" hidden="1" spans="1:6">
      <c r="A28" s="14">
        <v>1003</v>
      </c>
      <c r="B28" s="15" t="s">
        <v>135</v>
      </c>
      <c r="C28" s="16">
        <v>0</v>
      </c>
      <c r="D28" s="16">
        <v>0</v>
      </c>
      <c r="E28" s="17">
        <f t="shared" si="0"/>
        <v>0</v>
      </c>
      <c r="F28" s="13" t="e">
        <f t="shared" si="1"/>
        <v>#DIV/0!</v>
      </c>
    </row>
    <row r="29" ht="16.5" spans="1:6">
      <c r="A29" s="14">
        <v>1001</v>
      </c>
      <c r="B29" s="15" t="s">
        <v>212</v>
      </c>
      <c r="C29" s="16">
        <f>200000</f>
        <v>200000</v>
      </c>
      <c r="D29" s="16">
        <v>132499.2</v>
      </c>
      <c r="E29" s="17">
        <f t="shared" si="0"/>
        <v>67500.8</v>
      </c>
      <c r="F29" s="13">
        <f t="shared" si="1"/>
        <v>66.2496</v>
      </c>
    </row>
    <row r="30" ht="16.5" spans="1:6">
      <c r="A30" s="9">
        <v>1100</v>
      </c>
      <c r="B30" s="10" t="s">
        <v>136</v>
      </c>
      <c r="C30" s="29">
        <f>C31+C32+C33+C34</f>
        <v>3821600</v>
      </c>
      <c r="D30" s="29">
        <f>D31+D32+D33+D34</f>
        <v>1575843.16</v>
      </c>
      <c r="E30" s="30">
        <f t="shared" si="0"/>
        <v>2245756.84</v>
      </c>
      <c r="F30" s="13">
        <f t="shared" si="1"/>
        <v>41.2351674691229</v>
      </c>
    </row>
    <row r="31" ht="16.5" spans="1:6">
      <c r="A31" s="14">
        <v>1101</v>
      </c>
      <c r="B31" s="15" t="s">
        <v>137</v>
      </c>
      <c r="C31" s="16">
        <f>1035600</f>
        <v>1035600</v>
      </c>
      <c r="D31" s="31">
        <v>728454.83</v>
      </c>
      <c r="E31" s="24">
        <f t="shared" si="0"/>
        <v>307145.17</v>
      </c>
      <c r="F31" s="13">
        <f t="shared" si="1"/>
        <v>70.3413315952105</v>
      </c>
    </row>
    <row r="32" ht="16.5" customHeight="1" spans="1:6">
      <c r="A32" s="14">
        <v>1102</v>
      </c>
      <c r="B32" s="15" t="s">
        <v>150</v>
      </c>
      <c r="C32" s="32">
        <f>2563800</f>
        <v>2563800</v>
      </c>
      <c r="D32" s="33">
        <v>676500</v>
      </c>
      <c r="E32" s="24">
        <f t="shared" si="0"/>
        <v>1887300</v>
      </c>
      <c r="F32" s="13">
        <f t="shared" si="1"/>
        <v>26.3866136204072</v>
      </c>
    </row>
    <row r="33" ht="21.75" customHeight="1" spans="1:6">
      <c r="A33" s="34">
        <v>1204</v>
      </c>
      <c r="B33" s="35" t="s">
        <v>151</v>
      </c>
      <c r="C33" s="36">
        <v>137843.67</v>
      </c>
      <c r="D33" s="37">
        <v>86532</v>
      </c>
      <c r="E33" s="24">
        <f t="shared" si="0"/>
        <v>51311.67</v>
      </c>
      <c r="F33" s="38">
        <f t="shared" si="1"/>
        <v>62.7754615065023</v>
      </c>
    </row>
    <row r="34" s="1" customFormat="1" ht="16.5" spans="1:24">
      <c r="A34" s="39">
        <v>1301</v>
      </c>
      <c r="B34" s="40" t="s">
        <v>206</v>
      </c>
      <c r="C34" s="41">
        <v>84356.33</v>
      </c>
      <c r="D34" s="13">
        <v>84356.33</v>
      </c>
      <c r="E34" s="24">
        <f t="shared" si="0"/>
        <v>0</v>
      </c>
      <c r="F34" s="13">
        <f t="shared" si="1"/>
        <v>100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ht="23.25" hidden="1" spans="1:6">
      <c r="A35" s="43">
        <v>1300</v>
      </c>
      <c r="B35" s="44" t="s">
        <v>154</v>
      </c>
      <c r="C35" s="45">
        <v>0</v>
      </c>
      <c r="D35" s="45"/>
      <c r="E35" s="30"/>
      <c r="F35" s="46"/>
    </row>
    <row r="36" ht="23.25" hidden="1" spans="1:6">
      <c r="A36" s="47">
        <v>1301</v>
      </c>
      <c r="B36" s="48" t="s">
        <v>154</v>
      </c>
      <c r="C36" s="49">
        <v>0</v>
      </c>
      <c r="D36" s="49">
        <v>0</v>
      </c>
      <c r="E36" s="30">
        <f t="shared" ref="E36:E40" si="2">D36-C36</f>
        <v>0</v>
      </c>
      <c r="F36" s="13" t="e">
        <f t="shared" si="1"/>
        <v>#DIV/0!</v>
      </c>
    </row>
    <row r="37" ht="16.5" hidden="1" spans="1:6">
      <c r="A37" s="50" t="s">
        <v>140</v>
      </c>
      <c r="B37" s="51" t="s">
        <v>141</v>
      </c>
      <c r="C37" s="52">
        <f>C39</f>
        <v>0</v>
      </c>
      <c r="D37" s="53">
        <f>D39</f>
        <v>0</v>
      </c>
      <c r="E37" s="30">
        <f t="shared" si="2"/>
        <v>0</v>
      </c>
      <c r="F37" s="13" t="e">
        <f t="shared" si="1"/>
        <v>#DIV/0!</v>
      </c>
    </row>
    <row r="38" ht="16.5" hidden="1" spans="1:6">
      <c r="A38" s="9"/>
      <c r="B38" s="10" t="s">
        <v>142</v>
      </c>
      <c r="C38" s="54"/>
      <c r="D38" s="54"/>
      <c r="E38" s="30">
        <f t="shared" si="2"/>
        <v>0</v>
      </c>
      <c r="F38" s="13"/>
    </row>
    <row r="39" ht="16.5" hidden="1" spans="1:6">
      <c r="A39" s="55" t="s">
        <v>143</v>
      </c>
      <c r="B39" s="56" t="s">
        <v>144</v>
      </c>
      <c r="C39" s="57">
        <v>0</v>
      </c>
      <c r="D39" s="57">
        <v>0</v>
      </c>
      <c r="E39" s="30">
        <f t="shared" si="2"/>
        <v>0</v>
      </c>
      <c r="F39" s="13" t="e">
        <f t="shared" si="1"/>
        <v>#DIV/0!</v>
      </c>
    </row>
    <row r="40" ht="16.5" hidden="1" spans="1:6">
      <c r="A40" s="14"/>
      <c r="B40" s="15" t="s">
        <v>145</v>
      </c>
      <c r="C40" s="26"/>
      <c r="D40" s="26"/>
      <c r="E40" s="30">
        <f t="shared" si="2"/>
        <v>0</v>
      </c>
      <c r="F40" s="13"/>
    </row>
    <row r="41" ht="16.5" spans="1:6">
      <c r="A41" s="9">
        <v>9800</v>
      </c>
      <c r="B41" s="10" t="s">
        <v>146</v>
      </c>
      <c r="C41" s="29">
        <f>C2+C9+C11+C14+C18+C21+C24+C30+C29</f>
        <v>88749533.75</v>
      </c>
      <c r="D41" s="29">
        <f>D2+D9+D11+D14+D18+D21+D24+D30+D29</f>
        <v>49533656.43</v>
      </c>
      <c r="E41" s="29">
        <f>E2+E9+E11+E14+E18+E21+E24+E30+E29</f>
        <v>39215877.32</v>
      </c>
      <c r="F41" s="13">
        <f t="shared" si="1"/>
        <v>55.8128638394114</v>
      </c>
    </row>
  </sheetData>
  <mergeCells count="6">
    <mergeCell ref="A37:A38"/>
    <mergeCell ref="A39:A40"/>
    <mergeCell ref="C37:C38"/>
    <mergeCell ref="C39:C40"/>
    <mergeCell ref="D37:D38"/>
    <mergeCell ref="D39:D40"/>
  </mergeCells>
  <pageMargins left="0.7" right="0.7" top="0.75" bottom="0.75" header="0.3" footer="0.3"/>
  <pageSetup paperSize="9" scale="75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zoomScale="88" zoomScaleNormal="88" topLeftCell="A32" workbookViewId="0">
      <selection activeCell="A32" sqref="$A1:$XFD1048576"/>
    </sheetView>
  </sheetViews>
  <sheetFormatPr defaultColWidth="9" defaultRowHeight="15" outlineLevelCol="5"/>
  <cols>
    <col min="1" max="1" width="19.4285714285714" customWidth="1"/>
    <col min="2" max="2" width="32.1428571428571" style="2" customWidth="1"/>
    <col min="3" max="3" width="21.2857142857143" style="63" customWidth="1"/>
    <col min="4" max="4" width="19.5714285714286" style="3" customWidth="1"/>
    <col min="5" max="5" width="18.8571428571429" style="3" customWidth="1"/>
    <col min="6" max="6" width="11.7142857142857" customWidth="1"/>
  </cols>
  <sheetData>
    <row r="1" ht="60.75" customHeight="1" spans="1:6">
      <c r="A1" s="64" t="s">
        <v>64</v>
      </c>
      <c r="B1" s="65" t="s">
        <v>65</v>
      </c>
      <c r="C1" s="66" t="s">
        <v>66</v>
      </c>
      <c r="D1" s="67" t="s">
        <v>67</v>
      </c>
      <c r="E1" s="68" t="s">
        <v>68</v>
      </c>
      <c r="F1" s="69" t="s">
        <v>69</v>
      </c>
    </row>
    <row r="2" ht="15.75" spans="1:6">
      <c r="A2" s="70"/>
      <c r="B2" s="71"/>
      <c r="C2" s="72"/>
      <c r="D2" s="73"/>
      <c r="E2" s="74" t="s">
        <v>70</v>
      </c>
      <c r="F2" s="69"/>
    </row>
    <row r="3" s="58" customFormat="1" ht="41.25" hidden="1" customHeight="1" spans="1:6">
      <c r="A3" s="75" t="s">
        <v>175</v>
      </c>
      <c r="B3" s="76" t="s">
        <v>156</v>
      </c>
      <c r="C3" s="77">
        <v>0</v>
      </c>
      <c r="D3" s="78">
        <v>0</v>
      </c>
      <c r="E3" s="79">
        <v>0</v>
      </c>
      <c r="F3" s="80" t="e">
        <f t="shared" ref="F3:F15" si="0">D3/C3*100</f>
        <v>#DIV/0!</v>
      </c>
    </row>
    <row r="4" hidden="1"/>
    <row r="5" s="59" customFormat="1" ht="130.5" customHeight="1" spans="1:6">
      <c r="A5" s="81" t="s">
        <v>176</v>
      </c>
      <c r="B5" s="82" t="s">
        <v>177</v>
      </c>
      <c r="C5" s="83">
        <v>3260000</v>
      </c>
      <c r="D5" s="84">
        <v>2401454.26</v>
      </c>
      <c r="E5" s="85">
        <f t="shared" ref="E5:E7" si="1">C5-D5</f>
        <v>858545.74</v>
      </c>
      <c r="F5" s="86">
        <f t="shared" si="0"/>
        <v>73.6642411042945</v>
      </c>
    </row>
    <row r="6" s="59" customFormat="1" ht="149.25" customHeight="1" spans="1:6">
      <c r="A6" s="81" t="s">
        <v>178</v>
      </c>
      <c r="B6" s="82" t="s">
        <v>179</v>
      </c>
      <c r="C6" s="83">
        <v>31800</v>
      </c>
      <c r="D6" s="83">
        <v>17164.81</v>
      </c>
      <c r="E6" s="85">
        <f t="shared" si="1"/>
        <v>14635.19</v>
      </c>
      <c r="F6" s="86">
        <f t="shared" si="0"/>
        <v>53.9773899371069</v>
      </c>
    </row>
    <row r="7" s="59" customFormat="1" ht="149.25" customHeight="1" spans="1:6">
      <c r="A7" s="81" t="s">
        <v>180</v>
      </c>
      <c r="B7" s="82" t="s">
        <v>181</v>
      </c>
      <c r="C7" s="83">
        <v>3700000</v>
      </c>
      <c r="D7" s="87">
        <v>3299862.92</v>
      </c>
      <c r="E7" s="85">
        <f t="shared" si="1"/>
        <v>400137.08</v>
      </c>
      <c r="F7" s="86">
        <f t="shared" si="0"/>
        <v>89.1854843243243</v>
      </c>
    </row>
    <row r="8" s="59" customFormat="1" ht="149.25" customHeight="1" spans="1:6">
      <c r="A8" s="81" t="s">
        <v>182</v>
      </c>
      <c r="B8" s="82" t="s">
        <v>183</v>
      </c>
      <c r="C8" s="83">
        <v>0</v>
      </c>
      <c r="D8" s="84">
        <v>-423941.4</v>
      </c>
      <c r="E8" s="85">
        <v>-423941.4</v>
      </c>
      <c r="F8" s="88" t="e">
        <f t="shared" si="0"/>
        <v>#DIV/0!</v>
      </c>
    </row>
    <row r="9" s="59" customFormat="1" ht="38.25" customHeight="1" spans="1:6">
      <c r="A9" s="81" t="s">
        <v>71</v>
      </c>
      <c r="B9" s="82" t="s">
        <v>72</v>
      </c>
      <c r="C9" s="83">
        <v>13260000</v>
      </c>
      <c r="D9" s="84">
        <v>8801765.52</v>
      </c>
      <c r="E9" s="85">
        <f>C9-D9</f>
        <v>4458234.48</v>
      </c>
      <c r="F9" s="86">
        <f t="shared" si="0"/>
        <v>66.3783221719457</v>
      </c>
    </row>
    <row r="10" s="59" customFormat="1" ht="108" customHeight="1" spans="1:6">
      <c r="A10" s="81" t="s">
        <v>184</v>
      </c>
      <c r="B10" s="82" t="s">
        <v>185</v>
      </c>
      <c r="C10" s="83">
        <v>0</v>
      </c>
      <c r="D10" s="84">
        <v>117157.96</v>
      </c>
      <c r="E10" s="85">
        <v>117157.96</v>
      </c>
      <c r="F10" s="88" t="e">
        <f t="shared" si="0"/>
        <v>#DIV/0!</v>
      </c>
    </row>
    <row r="11" s="59" customFormat="1" ht="33" customHeight="1" spans="1:6">
      <c r="A11" s="81" t="s">
        <v>186</v>
      </c>
      <c r="B11" s="82" t="s">
        <v>187</v>
      </c>
      <c r="C11" s="83">
        <v>0</v>
      </c>
      <c r="D11" s="84">
        <v>200999.72</v>
      </c>
      <c r="E11" s="85">
        <v>200999.72</v>
      </c>
      <c r="F11" s="88" t="e">
        <f t="shared" si="0"/>
        <v>#DIV/0!</v>
      </c>
    </row>
    <row r="12" s="59" customFormat="1" ht="88.5" customHeight="1" spans="1:6">
      <c r="A12" s="89" t="s">
        <v>188</v>
      </c>
      <c r="B12" s="90" t="s">
        <v>189</v>
      </c>
      <c r="C12" s="91">
        <v>0</v>
      </c>
      <c r="D12" s="92">
        <v>122987.15</v>
      </c>
      <c r="E12" s="85">
        <v>122987.15</v>
      </c>
      <c r="F12" s="94" t="e">
        <f t="shared" si="0"/>
        <v>#DIV/0!</v>
      </c>
    </row>
    <row r="13" s="59" customFormat="1" ht="25.5" customHeight="1" spans="1:6">
      <c r="A13" s="95" t="s">
        <v>190</v>
      </c>
      <c r="B13" s="96" t="s">
        <v>74</v>
      </c>
      <c r="C13" s="97">
        <v>3244500</v>
      </c>
      <c r="D13" s="98">
        <v>4040509.11</v>
      </c>
      <c r="E13" s="85">
        <v>-838180.31</v>
      </c>
      <c r="F13" s="86">
        <f t="shared" si="0"/>
        <v>124.534107258437</v>
      </c>
    </row>
    <row r="14" s="59" customFormat="1" ht="19.5" customHeight="1" spans="1:6">
      <c r="A14" s="95" t="s">
        <v>75</v>
      </c>
      <c r="B14" s="96" t="s">
        <v>76</v>
      </c>
      <c r="C14" s="97">
        <v>3800000</v>
      </c>
      <c r="D14" s="98">
        <v>610281.78</v>
      </c>
      <c r="E14" s="85">
        <f t="shared" ref="E14:E18" si="2">C14-D14</f>
        <v>3189718.22</v>
      </c>
      <c r="F14" s="86">
        <f t="shared" si="0"/>
        <v>16.0600468421053</v>
      </c>
    </row>
    <row r="15" s="59" customFormat="1" ht="13.5" customHeight="1" spans="1:6">
      <c r="A15" s="104" t="s">
        <v>77</v>
      </c>
      <c r="B15" s="96" t="s">
        <v>191</v>
      </c>
      <c r="C15" s="105">
        <f>SUM(C17:C18)</f>
        <v>10350000</v>
      </c>
      <c r="D15" s="106">
        <f>SUM(D17:D18)</f>
        <v>3046276.28</v>
      </c>
      <c r="E15" s="106">
        <f>SUM(E17:E18)</f>
        <v>7303723.72</v>
      </c>
      <c r="F15" s="86">
        <f t="shared" si="0"/>
        <v>29.4326210628019</v>
      </c>
    </row>
    <row r="16" s="59" customFormat="1" ht="13.5" hidden="1" customHeight="1" spans="1:6">
      <c r="A16" s="107"/>
      <c r="B16" s="82" t="s">
        <v>79</v>
      </c>
      <c r="C16" s="108"/>
      <c r="D16" s="109"/>
      <c r="E16" s="109"/>
      <c r="F16" s="110"/>
    </row>
    <row r="17" s="59" customFormat="1" ht="47.25" customHeight="1" spans="1:6">
      <c r="A17" s="81" t="s">
        <v>157</v>
      </c>
      <c r="B17" s="111" t="s">
        <v>158</v>
      </c>
      <c r="C17" s="112">
        <v>4200000</v>
      </c>
      <c r="D17" s="113">
        <v>2338593.46</v>
      </c>
      <c r="E17" s="85">
        <f t="shared" si="2"/>
        <v>1861406.54</v>
      </c>
      <c r="F17" s="86">
        <f>D17/C17*100</f>
        <v>55.6807966666667</v>
      </c>
    </row>
    <row r="18" s="59" customFormat="1" ht="45.75" spans="1:6">
      <c r="A18" s="81" t="s">
        <v>159</v>
      </c>
      <c r="B18" s="111" t="s">
        <v>160</v>
      </c>
      <c r="C18" s="112">
        <v>6150000</v>
      </c>
      <c r="D18" s="113">
        <v>707682.82</v>
      </c>
      <c r="E18" s="85">
        <f t="shared" si="2"/>
        <v>5442317.18</v>
      </c>
      <c r="F18" s="86">
        <f>D18/C18*100</f>
        <v>11.5070377235772</v>
      </c>
    </row>
    <row r="19" ht="23.25" spans="1:6">
      <c r="A19" s="114" t="s">
        <v>147</v>
      </c>
      <c r="B19" s="115" t="s">
        <v>85</v>
      </c>
      <c r="C19" s="116">
        <v>0</v>
      </c>
      <c r="D19" s="117">
        <v>-5412.65</v>
      </c>
      <c r="E19" s="85">
        <v>-5412.65</v>
      </c>
      <c r="F19" s="86"/>
    </row>
    <row r="20" ht="21.75" hidden="1" spans="1:6">
      <c r="A20" s="118" t="s">
        <v>86</v>
      </c>
      <c r="B20" s="119" t="s">
        <v>87</v>
      </c>
      <c r="C20" s="120">
        <f>SUM(C22:C24)</f>
        <v>0</v>
      </c>
      <c r="D20" s="121">
        <v>0</v>
      </c>
      <c r="E20" s="85">
        <f>C20-D20</f>
        <v>0</v>
      </c>
      <c r="F20" s="86" t="e">
        <f>D20/C20*100</f>
        <v>#DIV/0!</v>
      </c>
    </row>
    <row r="21" ht="15.75" hidden="1" customHeight="1" spans="1:6">
      <c r="A21" s="114"/>
      <c r="B21" s="122" t="s">
        <v>79</v>
      </c>
      <c r="C21" s="123"/>
      <c r="D21" s="124"/>
      <c r="E21" s="85"/>
      <c r="F21" s="86"/>
    </row>
    <row r="22" ht="38.25" hidden="1" customHeight="1" spans="1:6">
      <c r="A22" s="114" t="s">
        <v>88</v>
      </c>
      <c r="B22" s="115" t="s">
        <v>89</v>
      </c>
      <c r="C22" s="116">
        <v>0</v>
      </c>
      <c r="D22" s="125">
        <v>0</v>
      </c>
      <c r="E22" s="85">
        <f>C22-D22</f>
        <v>0</v>
      </c>
      <c r="F22" s="86" t="e">
        <f>D22/C22*100</f>
        <v>#DIV/0!</v>
      </c>
    </row>
    <row r="23" ht="48" hidden="1" customHeight="1" spans="1:6">
      <c r="A23" s="114" t="s">
        <v>90</v>
      </c>
      <c r="B23" s="115" t="s">
        <v>91</v>
      </c>
      <c r="C23" s="116">
        <v>0</v>
      </c>
      <c r="D23" s="126">
        <v>0</v>
      </c>
      <c r="E23" s="85">
        <f>C23-D23</f>
        <v>0</v>
      </c>
      <c r="F23" s="86" t="e">
        <f>D23/C23*100</f>
        <v>#DIV/0!</v>
      </c>
    </row>
    <row r="24" ht="43.5" hidden="1" customHeight="1" spans="1:6">
      <c r="A24" s="114" t="s">
        <v>92</v>
      </c>
      <c r="B24" s="115" t="s">
        <v>93</v>
      </c>
      <c r="C24" s="116">
        <v>0</v>
      </c>
      <c r="D24" s="113">
        <v>0</v>
      </c>
      <c r="E24" s="85">
        <f>C24-D24</f>
        <v>0</v>
      </c>
      <c r="F24" s="86" t="e">
        <f>D24/C24*100</f>
        <v>#DIV/0!</v>
      </c>
    </row>
    <row r="25" customFormat="1" ht="80" customHeight="1" spans="1:6">
      <c r="A25" s="114" t="s">
        <v>213</v>
      </c>
      <c r="B25" s="115" t="s">
        <v>214</v>
      </c>
      <c r="C25" s="116">
        <v>184240</v>
      </c>
      <c r="D25" s="113">
        <v>184240</v>
      </c>
      <c r="E25" s="85">
        <f>C25-D25</f>
        <v>0</v>
      </c>
      <c r="F25" s="86">
        <f>D25/C25*100</f>
        <v>100</v>
      </c>
    </row>
    <row r="26" s="59" customFormat="1" ht="36" customHeight="1" spans="1:6">
      <c r="A26" s="81" t="s">
        <v>94</v>
      </c>
      <c r="B26" s="82" t="s">
        <v>95</v>
      </c>
      <c r="C26" s="83">
        <v>61204</v>
      </c>
      <c r="D26" s="84">
        <v>53292</v>
      </c>
      <c r="E26" s="85">
        <f>C26-D26</f>
        <v>7912</v>
      </c>
      <c r="F26" s="86">
        <f>D26/C26*100</f>
        <v>87.0727403437684</v>
      </c>
    </row>
    <row r="27" s="59" customFormat="1" ht="85.5" customHeight="1" spans="1:6">
      <c r="A27" s="81" t="s">
        <v>215</v>
      </c>
      <c r="B27" s="82" t="s">
        <v>194</v>
      </c>
      <c r="C27" s="83">
        <v>0</v>
      </c>
      <c r="D27" s="84">
        <v>9294.82</v>
      </c>
      <c r="E27" s="85">
        <v>9294.82</v>
      </c>
      <c r="F27" s="86"/>
    </row>
    <row r="28" s="59" customFormat="1" ht="85" customHeight="1" spans="1:6">
      <c r="A28" s="81" t="s">
        <v>173</v>
      </c>
      <c r="B28" s="82" t="s">
        <v>216</v>
      </c>
      <c r="C28" s="83">
        <v>9000</v>
      </c>
      <c r="D28" s="84">
        <v>9000</v>
      </c>
      <c r="E28" s="85">
        <f>C28-D28</f>
        <v>0</v>
      </c>
      <c r="F28" s="86">
        <f>D28/C28*100</f>
        <v>100</v>
      </c>
    </row>
    <row r="29" s="59" customFormat="1" ht="83.25" customHeight="1" spans="1:6">
      <c r="A29" s="81" t="s">
        <v>195</v>
      </c>
      <c r="B29" s="82" t="s">
        <v>196</v>
      </c>
      <c r="C29" s="83">
        <v>10000</v>
      </c>
      <c r="D29" s="84">
        <v>6000</v>
      </c>
      <c r="E29" s="85">
        <f>C29-D29</f>
        <v>4000</v>
      </c>
      <c r="F29" s="86">
        <f>D29/C29*100</f>
        <v>60</v>
      </c>
    </row>
    <row r="30" ht="55.5" hidden="1" customHeight="1" spans="1:6">
      <c r="A30" s="114" t="s">
        <v>98</v>
      </c>
      <c r="B30" s="127" t="s">
        <v>99</v>
      </c>
      <c r="C30" s="128" t="s">
        <v>192</v>
      </c>
      <c r="D30" s="129" t="s">
        <v>192</v>
      </c>
      <c r="E30" s="130" t="s">
        <v>192</v>
      </c>
      <c r="F30" s="86"/>
    </row>
    <row r="31" ht="24.75" hidden="1" customHeight="1" spans="1:6">
      <c r="A31" s="114" t="s">
        <v>100</v>
      </c>
      <c r="B31" s="127" t="s">
        <v>101</v>
      </c>
      <c r="C31" s="128">
        <v>0</v>
      </c>
      <c r="D31" s="129">
        <v>0</v>
      </c>
      <c r="E31" s="130">
        <f t="shared" ref="E31:E34" si="3">C31-D31</f>
        <v>0</v>
      </c>
      <c r="F31" s="86"/>
    </row>
    <row r="32" ht="28.5" customHeight="1" spans="1:6">
      <c r="A32" s="114" t="s">
        <v>148</v>
      </c>
      <c r="B32" s="127" t="s">
        <v>149</v>
      </c>
      <c r="C32" s="128">
        <v>16823</v>
      </c>
      <c r="D32" s="129">
        <v>16822.8</v>
      </c>
      <c r="E32" s="130">
        <f t="shared" si="3"/>
        <v>0.200000000000728</v>
      </c>
      <c r="F32" s="86">
        <f>D32/C32*100</f>
        <v>99.9988111513999</v>
      </c>
    </row>
    <row r="33" ht="33.75" hidden="1" customHeight="1" spans="1:6">
      <c r="A33" s="114" t="s">
        <v>103</v>
      </c>
      <c r="B33" s="127" t="s">
        <v>104</v>
      </c>
      <c r="C33" s="128">
        <v>0</v>
      </c>
      <c r="D33" s="129">
        <v>0</v>
      </c>
      <c r="E33" s="130">
        <f t="shared" si="3"/>
        <v>0</v>
      </c>
      <c r="F33" s="131"/>
    </row>
    <row r="34" ht="37.5" hidden="1" customHeight="1" spans="1:6">
      <c r="A34" s="114" t="s">
        <v>105</v>
      </c>
      <c r="B34" s="127" t="s">
        <v>106</v>
      </c>
      <c r="C34" s="128">
        <v>0</v>
      </c>
      <c r="D34" s="129">
        <v>0</v>
      </c>
      <c r="E34" s="130">
        <f t="shared" si="3"/>
        <v>0</v>
      </c>
      <c r="F34" s="131"/>
    </row>
    <row r="35" ht="15.75" customHeight="1" spans="1:6">
      <c r="A35" s="132" t="s">
        <v>109</v>
      </c>
      <c r="B35" s="133"/>
      <c r="C35" s="134">
        <f>C9+C5+C6+C7+C8+C10+C11+C13+C14+C15+C26+C27+C29+C28+C25+C32</f>
        <v>37927567</v>
      </c>
      <c r="D35" s="134">
        <f>D9+D5+D6+D7+D8+D10+D11+D13+D14+D15+D26+D27+D29+D12+D32+D28+D25+D19</f>
        <v>22507755.08</v>
      </c>
      <c r="E35" s="134">
        <f>E5+E6+E7+E9+E14+E15+E26+E29+E32+E8+E10+E11+E12+E13+E19+E27</f>
        <v>15419811.92</v>
      </c>
      <c r="F35" s="131">
        <f t="shared" ref="F35:F44" si="4">D35/C35*100</f>
        <v>59.3440519925784</v>
      </c>
    </row>
    <row r="36" s="60" customFormat="1" ht="16.5" spans="1:6">
      <c r="A36" s="135" t="s">
        <v>197</v>
      </c>
      <c r="B36" s="10" t="s">
        <v>198</v>
      </c>
      <c r="C36" s="136">
        <f>C37+C40+C41+C42+C38+C43+C39+C44+C45</f>
        <v>36279500</v>
      </c>
      <c r="D36" s="136">
        <f>D37+D40+D41+D42+D38+D43+D39+D44+D45</f>
        <v>25513937.09</v>
      </c>
      <c r="E36" s="136">
        <f>E37+E40+E41+E42+E38+E43+E39+E44</f>
        <v>10765562.91</v>
      </c>
      <c r="F36" s="137">
        <f t="shared" si="4"/>
        <v>70.3260438815309</v>
      </c>
    </row>
    <row r="37" s="61" customFormat="1" ht="34.5" spans="1:6">
      <c r="A37" s="138" t="s">
        <v>199</v>
      </c>
      <c r="B37" s="111" t="s">
        <v>200</v>
      </c>
      <c r="C37" s="139">
        <v>8806600</v>
      </c>
      <c r="D37" s="112">
        <v>6606700</v>
      </c>
      <c r="E37" s="140">
        <f t="shared" ref="E37:E43" si="5">C37-D37</f>
        <v>2199900</v>
      </c>
      <c r="F37" s="141">
        <f t="shared" si="4"/>
        <v>75.0198714600413</v>
      </c>
    </row>
    <row r="38" s="61" customFormat="1" ht="23.25" spans="1:6">
      <c r="A38" s="138" t="s">
        <v>207</v>
      </c>
      <c r="B38" s="111" t="s">
        <v>208</v>
      </c>
      <c r="C38" s="139">
        <v>2818700</v>
      </c>
      <c r="D38" s="112">
        <v>2818700</v>
      </c>
      <c r="E38" s="140">
        <f t="shared" si="5"/>
        <v>0</v>
      </c>
      <c r="F38" s="141">
        <f t="shared" si="4"/>
        <v>100</v>
      </c>
    </row>
    <row r="39" s="61" customFormat="1" ht="34.5" spans="1:6">
      <c r="A39" s="138" t="s">
        <v>209</v>
      </c>
      <c r="B39" s="111" t="s">
        <v>210</v>
      </c>
      <c r="C39" s="139">
        <v>6071400</v>
      </c>
      <c r="D39" s="112">
        <v>5699953.06</v>
      </c>
      <c r="E39" s="140">
        <f t="shared" si="5"/>
        <v>371446.94</v>
      </c>
      <c r="F39" s="141">
        <f t="shared" si="4"/>
        <v>93.8820216095135</v>
      </c>
    </row>
    <row r="40" s="61" customFormat="1" ht="28.5" customHeight="1" spans="1:6">
      <c r="A40" s="142" t="s">
        <v>201</v>
      </c>
      <c r="B40" s="143" t="s">
        <v>164</v>
      </c>
      <c r="C40" s="144">
        <v>17134600</v>
      </c>
      <c r="D40" s="112">
        <v>9119622.46</v>
      </c>
      <c r="E40" s="140">
        <f t="shared" si="5"/>
        <v>8014977.54</v>
      </c>
      <c r="F40" s="141">
        <f t="shared" si="4"/>
        <v>53.2234336372019</v>
      </c>
    </row>
    <row r="41" s="61" customFormat="1" ht="30.75" customHeight="1" spans="1:6">
      <c r="A41" s="145" t="s">
        <v>202</v>
      </c>
      <c r="B41" s="146" t="s">
        <v>166</v>
      </c>
      <c r="C41" s="147">
        <v>7600</v>
      </c>
      <c r="D41" s="112">
        <v>3800</v>
      </c>
      <c r="E41" s="140">
        <f t="shared" si="5"/>
        <v>3800</v>
      </c>
      <c r="F41" s="148">
        <f t="shared" si="4"/>
        <v>50</v>
      </c>
    </row>
    <row r="42" s="61" customFormat="1" ht="30.75" customHeight="1" spans="1:6">
      <c r="A42" s="145" t="s">
        <v>203</v>
      </c>
      <c r="B42" s="146" t="s">
        <v>168</v>
      </c>
      <c r="C42" s="147">
        <v>490600</v>
      </c>
      <c r="D42" s="112">
        <v>315161.57</v>
      </c>
      <c r="E42" s="140">
        <f t="shared" si="5"/>
        <v>175438.43</v>
      </c>
      <c r="F42" s="148">
        <f t="shared" si="4"/>
        <v>64.2400264981655</v>
      </c>
    </row>
    <row r="43" s="61" customFormat="1" ht="33.75" customHeight="1" spans="1:6">
      <c r="A43" s="145" t="s">
        <v>211</v>
      </c>
      <c r="B43" s="146" t="s">
        <v>170</v>
      </c>
      <c r="C43" s="149">
        <v>600000</v>
      </c>
      <c r="D43" s="112">
        <v>600000</v>
      </c>
      <c r="E43" s="140">
        <f t="shared" si="5"/>
        <v>0</v>
      </c>
      <c r="F43" s="148">
        <f t="shared" si="4"/>
        <v>100</v>
      </c>
    </row>
    <row r="44" s="59" customFormat="1" ht="16.5" spans="1:6">
      <c r="A44" s="81" t="s">
        <v>204</v>
      </c>
      <c r="B44" s="111" t="s">
        <v>172</v>
      </c>
      <c r="C44" s="112">
        <v>100000</v>
      </c>
      <c r="D44" s="112">
        <v>100000</v>
      </c>
      <c r="E44" s="85">
        <v>0</v>
      </c>
      <c r="F44" s="148">
        <f t="shared" si="4"/>
        <v>100</v>
      </c>
    </row>
    <row r="45" s="62" customFormat="1" ht="47.25" customHeight="1" spans="1:6">
      <c r="A45" s="150" t="s">
        <v>204</v>
      </c>
      <c r="B45" s="151" t="s">
        <v>217</v>
      </c>
      <c r="C45" s="152">
        <v>250000</v>
      </c>
      <c r="D45" s="152">
        <v>250000</v>
      </c>
      <c r="E45" s="153">
        <f>C45-D45</f>
        <v>0</v>
      </c>
      <c r="F45" s="154"/>
    </row>
    <row r="46" ht="16.5" spans="1:6">
      <c r="A46" s="132" t="s">
        <v>112</v>
      </c>
      <c r="B46" s="133"/>
      <c r="C46" s="134">
        <f>C36</f>
        <v>36279500</v>
      </c>
      <c r="D46" s="134">
        <f>D36</f>
        <v>25513937.09</v>
      </c>
      <c r="E46" s="134">
        <f>E36</f>
        <v>10765562.91</v>
      </c>
      <c r="F46" s="131">
        <f>D46/C46*100</f>
        <v>70.3260438815309</v>
      </c>
    </row>
    <row r="47" ht="28.5" customHeight="1" spans="1:6">
      <c r="A47" s="132" t="s">
        <v>113</v>
      </c>
      <c r="B47" s="133"/>
      <c r="C47" s="134">
        <f>C35+C46</f>
        <v>74207067</v>
      </c>
      <c r="D47" s="134">
        <f>D35+D46</f>
        <v>48021692.17</v>
      </c>
      <c r="E47" s="134">
        <f>E35+E46</f>
        <v>26185374.83</v>
      </c>
      <c r="F47" s="131">
        <f>D47/C47*100</f>
        <v>64.7130982417079</v>
      </c>
    </row>
  </sheetData>
  <mergeCells count="10">
    <mergeCell ref="A35:B35"/>
    <mergeCell ref="A46:B46"/>
    <mergeCell ref="A47:B47"/>
    <mergeCell ref="A1:A2"/>
    <mergeCell ref="A20:A21"/>
    <mergeCell ref="B1:B2"/>
    <mergeCell ref="C1:C2"/>
    <mergeCell ref="C20:C21"/>
    <mergeCell ref="D1:D2"/>
    <mergeCell ref="D20:D21"/>
  </mergeCells>
  <pageMargins left="0.75" right="0.75" top="1" bottom="1" header="0.5" footer="0.5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3"/>
  <sheetViews>
    <sheetView workbookViewId="0">
      <selection activeCell="A1" sqref="A1:IV65536"/>
    </sheetView>
  </sheetViews>
  <sheetFormatPr defaultColWidth="9" defaultRowHeight="15.75"/>
  <cols>
    <col min="1" max="1" width="60.7142857142857" style="212" customWidth="1"/>
    <col min="2" max="2" width="9.28571428571429" style="213" customWidth="1"/>
    <col min="3" max="3" width="18.8571428571429" hidden="1" customWidth="1"/>
    <col min="4" max="4" width="14.7142857142857" customWidth="1"/>
    <col min="5" max="5" width="13.8571428571429" customWidth="1"/>
    <col min="6" max="7" width="14" customWidth="1"/>
    <col min="8" max="8" width="13.2857142857143" customWidth="1"/>
    <col min="9" max="9" width="13.2857142857143" hidden="1" customWidth="1"/>
    <col min="10" max="10" width="14" customWidth="1"/>
  </cols>
  <sheetData>
    <row r="2" ht="18.75" spans="1:9">
      <c r="A2" s="214" t="s">
        <v>54</v>
      </c>
      <c r="B2" s="214"/>
      <c r="C2" s="214"/>
      <c r="D2" s="214"/>
      <c r="E2" s="214"/>
      <c r="F2" s="214"/>
      <c r="G2" s="214"/>
      <c r="H2" s="214"/>
      <c r="I2" s="214"/>
    </row>
    <row r="4" ht="57" spans="1:10">
      <c r="A4" s="215" t="s">
        <v>1</v>
      </c>
      <c r="B4" s="216"/>
      <c r="C4" s="217" t="s">
        <v>2</v>
      </c>
      <c r="D4" s="217" t="s">
        <v>55</v>
      </c>
      <c r="E4" s="217" t="s">
        <v>56</v>
      </c>
      <c r="F4" s="217" t="s">
        <v>57</v>
      </c>
      <c r="G4" s="217" t="s">
        <v>5</v>
      </c>
      <c r="H4" s="217" t="s">
        <v>58</v>
      </c>
      <c r="I4" s="217" t="s">
        <v>7</v>
      </c>
      <c r="J4" s="217" t="s">
        <v>59</v>
      </c>
    </row>
    <row r="5" ht="30" customHeight="1" spans="1:10">
      <c r="A5" s="218" t="s">
        <v>8</v>
      </c>
      <c r="B5" s="219" t="s">
        <v>9</v>
      </c>
      <c r="C5" s="220"/>
      <c r="D5" s="220">
        <f>446100+116800</f>
        <v>562900</v>
      </c>
      <c r="E5" s="221">
        <v>432800</v>
      </c>
      <c r="F5" s="221">
        <f>327399.64+81172.93</f>
        <v>408572.57</v>
      </c>
      <c r="G5" s="221">
        <f>E5-F5</f>
        <v>24227.43</v>
      </c>
      <c r="H5" s="220">
        <f t="shared" ref="H5:H31" si="0">F5/E5*100</f>
        <v>94.4021649722736</v>
      </c>
      <c r="I5" s="220" t="e">
        <f>E5/C5*100</f>
        <v>#DIV/0!</v>
      </c>
      <c r="J5" s="220">
        <f>F5/D5*100</f>
        <v>72.5835086160952</v>
      </c>
    </row>
    <row r="6" ht="47.25" customHeight="1" spans="1:10">
      <c r="A6" s="218" t="s">
        <v>10</v>
      </c>
      <c r="B6" s="219" t="s">
        <v>11</v>
      </c>
      <c r="C6" s="220"/>
      <c r="D6" s="220">
        <f>4933100+7000</f>
        <v>4940100</v>
      </c>
      <c r="E6" s="221">
        <v>3462319</v>
      </c>
      <c r="F6" s="221">
        <f>2251385.7+638738.31+58668.38+39090+100916.35+4397.6+149120.62+97964.73+4419</f>
        <v>3344700.69</v>
      </c>
      <c r="G6" s="221">
        <f t="shared" ref="G6:G30" si="1">E6-F6</f>
        <v>117618.31</v>
      </c>
      <c r="H6" s="220">
        <f t="shared" si="0"/>
        <v>96.6029037185771</v>
      </c>
      <c r="I6" s="220" t="e">
        <f t="shared" ref="I6:I31" si="2">E6/C6*100</f>
        <v>#DIV/0!</v>
      </c>
      <c r="J6" s="220">
        <f t="shared" ref="J6:J31" si="3">F6/D6*100</f>
        <v>67.7051211513937</v>
      </c>
    </row>
    <row r="7" spans="1:10">
      <c r="A7" s="218" t="s">
        <v>12</v>
      </c>
      <c r="B7" s="219" t="s">
        <v>13</v>
      </c>
      <c r="C7" s="220"/>
      <c r="D7" s="220">
        <v>50000</v>
      </c>
      <c r="E7" s="221">
        <v>50000</v>
      </c>
      <c r="F7" s="221">
        <v>0</v>
      </c>
      <c r="G7" s="221">
        <f t="shared" si="1"/>
        <v>50000</v>
      </c>
      <c r="H7" s="222">
        <v>0</v>
      </c>
      <c r="I7" s="220" t="e">
        <f t="shared" si="2"/>
        <v>#DIV/0!</v>
      </c>
      <c r="J7" s="220">
        <f t="shared" si="3"/>
        <v>0</v>
      </c>
    </row>
    <row r="8" ht="18" customHeight="1" spans="1:10">
      <c r="A8" s="218" t="s">
        <v>14</v>
      </c>
      <c r="B8" s="219" t="s">
        <v>15</v>
      </c>
      <c r="C8" s="220"/>
      <c r="D8" s="221">
        <f>D9+D10</f>
        <v>4851200</v>
      </c>
      <c r="E8" s="221">
        <f>E9+E10</f>
        <v>3389100</v>
      </c>
      <c r="F8" s="221">
        <f>F9+F10</f>
        <v>3089737.61</v>
      </c>
      <c r="G8" s="221">
        <f t="shared" si="1"/>
        <v>299362.39</v>
      </c>
      <c r="H8" s="220">
        <f t="shared" si="0"/>
        <v>91.1669059632351</v>
      </c>
      <c r="I8" s="220" t="e">
        <f t="shared" si="2"/>
        <v>#DIV/0!</v>
      </c>
      <c r="J8" s="220">
        <f t="shared" si="3"/>
        <v>63.6901717100924</v>
      </c>
    </row>
    <row r="9" spans="1:10">
      <c r="A9" s="223" t="s">
        <v>16</v>
      </c>
      <c r="B9" s="219" t="s">
        <v>15</v>
      </c>
      <c r="C9" s="220"/>
      <c r="D9" s="220">
        <v>1222700</v>
      </c>
      <c r="E9" s="221">
        <v>887300</v>
      </c>
      <c r="F9" s="221">
        <f>550336.14+117993.04+38923.4+3850+83168.81+1639.65+1521.5</f>
        <v>797432.54</v>
      </c>
      <c r="G9" s="221">
        <f t="shared" si="1"/>
        <v>89867.4599999998</v>
      </c>
      <c r="H9" s="220">
        <f t="shared" si="0"/>
        <v>89.8718066043052</v>
      </c>
      <c r="I9" s="220" t="e">
        <f t="shared" si="2"/>
        <v>#DIV/0!</v>
      </c>
      <c r="J9" s="220">
        <f t="shared" si="3"/>
        <v>65.2189858509855</v>
      </c>
    </row>
    <row r="10" spans="1:10">
      <c r="A10" s="223" t="s">
        <v>60</v>
      </c>
      <c r="B10" s="219" t="s">
        <v>15</v>
      </c>
      <c r="C10" s="220"/>
      <c r="D10" s="220">
        <v>3628500</v>
      </c>
      <c r="E10" s="221">
        <v>2501800</v>
      </c>
      <c r="F10" s="221">
        <f>1298557.65+320841.1+47120.94+50382+47255.82+21398.3+86336+420413.26</f>
        <v>2292305.07</v>
      </c>
      <c r="G10" s="221">
        <f t="shared" si="1"/>
        <v>209494.93</v>
      </c>
      <c r="H10" s="220">
        <f t="shared" si="0"/>
        <v>91.6262319130226</v>
      </c>
      <c r="I10" s="220" t="e">
        <f t="shared" si="2"/>
        <v>#DIV/0!</v>
      </c>
      <c r="J10" s="220">
        <f t="shared" si="3"/>
        <v>63.1750053741216</v>
      </c>
    </row>
    <row r="11" ht="43.5" customHeight="1" spans="1:10">
      <c r="A11" s="218" t="s">
        <v>18</v>
      </c>
      <c r="B11" s="219" t="s">
        <v>15</v>
      </c>
      <c r="C11" s="220"/>
      <c r="D11" s="220">
        <v>100000</v>
      </c>
      <c r="E11" s="221">
        <v>100000</v>
      </c>
      <c r="F11" s="221">
        <v>99917.73</v>
      </c>
      <c r="G11" s="221">
        <f t="shared" si="1"/>
        <v>82.2700000000041</v>
      </c>
      <c r="H11" s="220">
        <f t="shared" si="0"/>
        <v>99.91773</v>
      </c>
      <c r="I11" s="220" t="e">
        <f t="shared" si="2"/>
        <v>#DIV/0!</v>
      </c>
      <c r="J11" s="220">
        <f t="shared" si="3"/>
        <v>99.91773</v>
      </c>
    </row>
    <row r="12" ht="30" customHeight="1" spans="1:10">
      <c r="A12" s="218" t="s">
        <v>19</v>
      </c>
      <c r="B12" s="219" t="s">
        <v>15</v>
      </c>
      <c r="C12" s="220"/>
      <c r="D12" s="220">
        <v>115400</v>
      </c>
      <c r="E12" s="221">
        <v>115400</v>
      </c>
      <c r="F12" s="221">
        <v>115400</v>
      </c>
      <c r="G12" s="221">
        <f t="shared" si="1"/>
        <v>0</v>
      </c>
      <c r="H12" s="220">
        <f t="shared" si="0"/>
        <v>100</v>
      </c>
      <c r="I12" s="220" t="e">
        <f t="shared" si="2"/>
        <v>#DIV/0!</v>
      </c>
      <c r="J12" s="220">
        <f t="shared" si="3"/>
        <v>100</v>
      </c>
    </row>
    <row r="13" ht="30" customHeight="1" spans="1:10">
      <c r="A13" s="218" t="s">
        <v>20</v>
      </c>
      <c r="B13" s="219" t="s">
        <v>15</v>
      </c>
      <c r="C13" s="220"/>
      <c r="D13" s="220">
        <v>137000</v>
      </c>
      <c r="E13" s="221">
        <v>92000</v>
      </c>
      <c r="F13" s="221">
        <v>56000</v>
      </c>
      <c r="G13" s="221">
        <f t="shared" si="1"/>
        <v>36000</v>
      </c>
      <c r="H13" s="220">
        <f t="shared" si="0"/>
        <v>60.8695652173913</v>
      </c>
      <c r="I13" s="220" t="e">
        <f t="shared" si="2"/>
        <v>#DIV/0!</v>
      </c>
      <c r="J13" s="220">
        <f t="shared" si="3"/>
        <v>40.8759124087591</v>
      </c>
    </row>
    <row r="14" customHeight="1" spans="1:10">
      <c r="A14" s="218" t="s">
        <v>21</v>
      </c>
      <c r="B14" s="219" t="s">
        <v>22</v>
      </c>
      <c r="C14" s="220"/>
      <c r="D14" s="220">
        <v>268100</v>
      </c>
      <c r="E14" s="221">
        <v>201092</v>
      </c>
      <c r="F14" s="221">
        <f>154060.56+40896.67+328.02</f>
        <v>195285.25</v>
      </c>
      <c r="G14" s="221">
        <f t="shared" si="1"/>
        <v>5806.75000000003</v>
      </c>
      <c r="H14" s="220">
        <f t="shared" si="0"/>
        <v>97.1123913432658</v>
      </c>
      <c r="I14" s="220" t="e">
        <f t="shared" si="2"/>
        <v>#DIV/0!</v>
      </c>
      <c r="J14" s="220">
        <f t="shared" si="3"/>
        <v>72.8404513241328</v>
      </c>
    </row>
    <row r="15" ht="30.75" customHeight="1" spans="1:10">
      <c r="A15" s="218" t="s">
        <v>23</v>
      </c>
      <c r="B15" s="219" t="s">
        <v>24</v>
      </c>
      <c r="C15" s="220"/>
      <c r="D15" s="220">
        <v>185530</v>
      </c>
      <c r="E15" s="221">
        <v>133030</v>
      </c>
      <c r="F15" s="221">
        <f>69685+530</f>
        <v>70215</v>
      </c>
      <c r="G15" s="221">
        <f t="shared" si="1"/>
        <v>62815</v>
      </c>
      <c r="H15" s="220">
        <f t="shared" si="0"/>
        <v>52.7813275201082</v>
      </c>
      <c r="I15" s="220" t="e">
        <f t="shared" si="2"/>
        <v>#DIV/0!</v>
      </c>
      <c r="J15" s="220">
        <f t="shared" si="3"/>
        <v>37.8456314342694</v>
      </c>
    </row>
    <row r="16" ht="16.5" customHeight="1" spans="1:10">
      <c r="A16" s="218" t="s">
        <v>25</v>
      </c>
      <c r="B16" s="219" t="s">
        <v>26</v>
      </c>
      <c r="C16" s="220"/>
      <c r="D16" s="220">
        <v>109000</v>
      </c>
      <c r="E16" s="221">
        <v>9000</v>
      </c>
      <c r="F16" s="221">
        <v>8400</v>
      </c>
      <c r="G16" s="221">
        <f t="shared" si="1"/>
        <v>600</v>
      </c>
      <c r="H16" s="220">
        <f t="shared" si="0"/>
        <v>93.3333333333333</v>
      </c>
      <c r="I16" s="220" t="e">
        <f t="shared" si="2"/>
        <v>#DIV/0!</v>
      </c>
      <c r="J16" s="220">
        <f t="shared" si="3"/>
        <v>7.70642201834862</v>
      </c>
    </row>
    <row r="17" spans="1:10">
      <c r="A17" s="218" t="s">
        <v>27</v>
      </c>
      <c r="B17" s="219" t="s">
        <v>28</v>
      </c>
      <c r="C17" s="220"/>
      <c r="D17" s="220">
        <f>2805000+102952+900000+940000+150000</f>
        <v>4897952</v>
      </c>
      <c r="E17" s="221">
        <v>3801309.57</v>
      </c>
      <c r="F17" s="221">
        <f>2018375.95+35465+884909.24</f>
        <v>2938750.19</v>
      </c>
      <c r="G17" s="221">
        <f t="shared" si="1"/>
        <v>862559.38</v>
      </c>
      <c r="H17" s="220">
        <f t="shared" si="0"/>
        <v>77.3088888416946</v>
      </c>
      <c r="I17" s="220" t="e">
        <f t="shared" si="2"/>
        <v>#DIV/0!</v>
      </c>
      <c r="J17" s="220">
        <f t="shared" si="3"/>
        <v>59.9995710452042</v>
      </c>
    </row>
    <row r="18" ht="16.5" customHeight="1" spans="1:10">
      <c r="A18" s="218" t="s">
        <v>29</v>
      </c>
      <c r="B18" s="219" t="s">
        <v>30</v>
      </c>
      <c r="C18" s="220"/>
      <c r="D18" s="220">
        <v>200000</v>
      </c>
      <c r="E18" s="221">
        <v>150000</v>
      </c>
      <c r="F18" s="221">
        <v>0</v>
      </c>
      <c r="G18" s="221">
        <f t="shared" si="1"/>
        <v>150000</v>
      </c>
      <c r="H18" s="220">
        <f t="shared" si="0"/>
        <v>0</v>
      </c>
      <c r="I18" s="220" t="e">
        <f t="shared" si="2"/>
        <v>#DIV/0!</v>
      </c>
      <c r="J18" s="220">
        <f t="shared" si="3"/>
        <v>0</v>
      </c>
    </row>
    <row r="19" spans="1:10">
      <c r="A19" s="218" t="s">
        <v>31</v>
      </c>
      <c r="B19" s="219" t="s">
        <v>32</v>
      </c>
      <c r="C19" s="220"/>
      <c r="D19" s="220">
        <v>450000</v>
      </c>
      <c r="E19" s="221">
        <v>125000</v>
      </c>
      <c r="F19" s="221">
        <v>0</v>
      </c>
      <c r="G19" s="221">
        <f t="shared" si="1"/>
        <v>125000</v>
      </c>
      <c r="H19" s="220">
        <v>0</v>
      </c>
      <c r="I19" s="220" t="e">
        <f t="shared" si="2"/>
        <v>#DIV/0!</v>
      </c>
      <c r="J19" s="220">
        <f t="shared" si="3"/>
        <v>0</v>
      </c>
    </row>
    <row r="20" spans="1:10">
      <c r="A20" s="218" t="s">
        <v>33</v>
      </c>
      <c r="B20" s="219" t="s">
        <v>34</v>
      </c>
      <c r="C20" s="220"/>
      <c r="D20" s="220">
        <v>3866863</v>
      </c>
      <c r="E20" s="221">
        <v>2595563</v>
      </c>
      <c r="F20" s="221">
        <f>648548.49+366204+3461+99952.02+49878.4+624273.5+42393.75+4500+160711.82+45556+99591.12</f>
        <v>2145070.1</v>
      </c>
      <c r="G20" s="221">
        <f t="shared" si="1"/>
        <v>450492.9</v>
      </c>
      <c r="H20" s="220">
        <f t="shared" si="0"/>
        <v>82.6437308591624</v>
      </c>
      <c r="I20" s="220" t="e">
        <f t="shared" si="2"/>
        <v>#DIV/0!</v>
      </c>
      <c r="J20" s="220">
        <f t="shared" si="3"/>
        <v>55.47313416586</v>
      </c>
    </row>
    <row r="21" ht="16.5" customHeight="1" spans="1:10">
      <c r="A21" s="218" t="s">
        <v>35</v>
      </c>
      <c r="B21" s="219" t="s">
        <v>36</v>
      </c>
      <c r="C21" s="220"/>
      <c r="D21" s="220">
        <v>84800</v>
      </c>
      <c r="E21" s="221">
        <v>84800</v>
      </c>
      <c r="F21" s="221">
        <f>7961+35574.45</f>
        <v>43535.45</v>
      </c>
      <c r="G21" s="221">
        <f t="shared" si="1"/>
        <v>41264.55</v>
      </c>
      <c r="H21" s="220">
        <v>0</v>
      </c>
      <c r="I21" s="220" t="e">
        <f t="shared" si="2"/>
        <v>#DIV/0!</v>
      </c>
      <c r="J21" s="220">
        <f t="shared" si="3"/>
        <v>51.3389740566038</v>
      </c>
    </row>
    <row r="22" spans="1:10">
      <c r="A22" s="218" t="s">
        <v>37</v>
      </c>
      <c r="B22" s="219" t="s">
        <v>38</v>
      </c>
      <c r="C22" s="220"/>
      <c r="D22" s="221">
        <f>D23+D24</f>
        <v>4061600</v>
      </c>
      <c r="E22" s="221">
        <f>E23+E24</f>
        <v>3224640</v>
      </c>
      <c r="F22" s="221">
        <f>F23+F24</f>
        <v>2725972.93</v>
      </c>
      <c r="G22" s="221">
        <f t="shared" si="1"/>
        <v>498667.07</v>
      </c>
      <c r="H22" s="220">
        <f t="shared" si="0"/>
        <v>84.5357289495882</v>
      </c>
      <c r="I22" s="220" t="e">
        <f t="shared" si="2"/>
        <v>#DIV/0!</v>
      </c>
      <c r="J22" s="220">
        <f t="shared" si="3"/>
        <v>67.1157408410479</v>
      </c>
    </row>
    <row r="23" spans="1:10">
      <c r="A23" s="223" t="s">
        <v>61</v>
      </c>
      <c r="B23" s="219" t="s">
        <v>38</v>
      </c>
      <c r="C23" s="220"/>
      <c r="D23" s="220">
        <v>2860800</v>
      </c>
      <c r="E23" s="221">
        <v>2322640</v>
      </c>
      <c r="F23" s="221">
        <f>852974.48+6495.18+256272.22+1650+338647.26+190758.57+204048+94963</f>
        <v>1945808.71</v>
      </c>
      <c r="G23" s="221">
        <f t="shared" si="1"/>
        <v>376831.29</v>
      </c>
      <c r="H23" s="220">
        <f t="shared" si="0"/>
        <v>83.7757340784624</v>
      </c>
      <c r="I23" s="220" t="e">
        <f t="shared" si="2"/>
        <v>#DIV/0!</v>
      </c>
      <c r="J23" s="220">
        <f t="shared" si="3"/>
        <v>68.0162440576063</v>
      </c>
    </row>
    <row r="24" spans="1:10">
      <c r="A24" s="223" t="s">
        <v>40</v>
      </c>
      <c r="B24" s="219" t="s">
        <v>38</v>
      </c>
      <c r="C24" s="220"/>
      <c r="D24" s="220">
        <v>1200800</v>
      </c>
      <c r="E24" s="221">
        <v>902000</v>
      </c>
      <c r="F24" s="221">
        <f>470009.66+5372.98+118728.27+4098.89+33976.41+600+17493.12+4270.23+117778.94+7835.72</f>
        <v>780164.22</v>
      </c>
      <c r="G24" s="221">
        <f t="shared" si="1"/>
        <v>121835.78</v>
      </c>
      <c r="H24" s="220">
        <f t="shared" si="0"/>
        <v>86.4927073170732</v>
      </c>
      <c r="I24" s="220" t="e">
        <f t="shared" si="2"/>
        <v>#DIV/0!</v>
      </c>
      <c r="J24" s="220">
        <f t="shared" si="3"/>
        <v>64.970371419054</v>
      </c>
    </row>
    <row r="25" ht="18.75" customHeight="1" spans="1:10">
      <c r="A25" s="218" t="s">
        <v>41</v>
      </c>
      <c r="B25" s="219" t="s">
        <v>42</v>
      </c>
      <c r="C25" s="220"/>
      <c r="D25" s="220">
        <v>100000</v>
      </c>
      <c r="E25" s="221">
        <v>91000</v>
      </c>
      <c r="F25" s="221">
        <v>87500</v>
      </c>
      <c r="G25" s="221">
        <f t="shared" si="1"/>
        <v>3500</v>
      </c>
      <c r="H25" s="220">
        <f t="shared" si="0"/>
        <v>96.1538461538462</v>
      </c>
      <c r="I25" s="220"/>
      <c r="J25" s="220">
        <f t="shared" si="3"/>
        <v>87.5</v>
      </c>
    </row>
    <row r="26" ht="18" customHeight="1" spans="1:10">
      <c r="A26" s="218" t="s">
        <v>43</v>
      </c>
      <c r="B26" s="219" t="s">
        <v>44</v>
      </c>
      <c r="C26" s="220"/>
      <c r="D26" s="220">
        <v>307048</v>
      </c>
      <c r="E26" s="221">
        <v>216400</v>
      </c>
      <c r="F26" s="221">
        <v>131210.53</v>
      </c>
      <c r="G26" s="221">
        <f t="shared" si="1"/>
        <v>85189.47</v>
      </c>
      <c r="H26" s="220">
        <f t="shared" si="0"/>
        <v>60.633331792976</v>
      </c>
      <c r="I26" s="220" t="e">
        <f t="shared" si="2"/>
        <v>#DIV/0!</v>
      </c>
      <c r="J26" s="220">
        <f t="shared" si="3"/>
        <v>42.7329049529715</v>
      </c>
    </row>
    <row r="27" spans="1:10">
      <c r="A27" s="218" t="s">
        <v>45</v>
      </c>
      <c r="B27" s="219" t="s">
        <v>46</v>
      </c>
      <c r="C27" s="220"/>
      <c r="D27" s="221">
        <f>3325.6+12430+170944.4+46400</f>
        <v>233100</v>
      </c>
      <c r="E27" s="221">
        <f>3325.6+12430+170944.4+46400</f>
        <v>233100</v>
      </c>
      <c r="F27" s="221">
        <f>3325.6+12430+170905.2+46400</f>
        <v>233060.8</v>
      </c>
      <c r="G27" s="221">
        <f t="shared" si="1"/>
        <v>39.1999999999825</v>
      </c>
      <c r="H27" s="220">
        <f t="shared" si="0"/>
        <v>99.9831831831832</v>
      </c>
      <c r="I27" s="220" t="e">
        <f t="shared" si="2"/>
        <v>#DIV/0!</v>
      </c>
      <c r="J27" s="220">
        <f t="shared" si="3"/>
        <v>99.9831831831832</v>
      </c>
    </row>
    <row r="28" spans="1:10">
      <c r="A28" s="223" t="s">
        <v>62</v>
      </c>
      <c r="B28" s="219" t="s">
        <v>46</v>
      </c>
      <c r="C28" s="220"/>
      <c r="D28" s="220">
        <f>183900+800+48100+6000+79100+181700+20900+95000</f>
        <v>615500</v>
      </c>
      <c r="E28" s="221">
        <v>280860</v>
      </c>
      <c r="F28" s="221">
        <f>47720.19+800+10845.54+3867.2+9800+62220</f>
        <v>135252.93</v>
      </c>
      <c r="G28" s="221">
        <f t="shared" si="1"/>
        <v>145607.07</v>
      </c>
      <c r="H28" s="220">
        <f t="shared" si="0"/>
        <v>48.1567079683828</v>
      </c>
      <c r="I28" s="220" t="e">
        <f t="shared" si="2"/>
        <v>#DIV/0!</v>
      </c>
      <c r="J28" s="220">
        <f t="shared" si="3"/>
        <v>21.9744809098294</v>
      </c>
    </row>
    <row r="29" ht="31.5" customHeight="1" spans="1:10">
      <c r="A29" s="218" t="s">
        <v>47</v>
      </c>
      <c r="B29" s="219" t="s">
        <v>48</v>
      </c>
      <c r="C29" s="220"/>
      <c r="D29" s="220">
        <v>70000</v>
      </c>
      <c r="E29" s="221">
        <v>52000</v>
      </c>
      <c r="F29" s="221">
        <v>0</v>
      </c>
      <c r="G29" s="221">
        <f t="shared" si="1"/>
        <v>52000</v>
      </c>
      <c r="H29" s="220">
        <f t="shared" si="0"/>
        <v>0</v>
      </c>
      <c r="I29" s="220" t="e">
        <f t="shared" si="2"/>
        <v>#DIV/0!</v>
      </c>
      <c r="J29" s="220">
        <f t="shared" si="3"/>
        <v>0</v>
      </c>
    </row>
    <row r="30" spans="1:10">
      <c r="A30" s="218" t="s">
        <v>49</v>
      </c>
      <c r="B30" s="219" t="s">
        <v>50</v>
      </c>
      <c r="C30" s="220"/>
      <c r="D30" s="220">
        <v>474600</v>
      </c>
      <c r="E30" s="221">
        <v>355800</v>
      </c>
      <c r="F30" s="221">
        <v>355800</v>
      </c>
      <c r="G30" s="221">
        <f t="shared" si="1"/>
        <v>0</v>
      </c>
      <c r="H30" s="220">
        <f t="shared" si="0"/>
        <v>100</v>
      </c>
      <c r="I30" s="220" t="e">
        <f t="shared" si="2"/>
        <v>#DIV/0!</v>
      </c>
      <c r="J30" s="220">
        <f t="shared" si="3"/>
        <v>74.968394437421</v>
      </c>
    </row>
    <row r="31" spans="1:10">
      <c r="A31" s="224" t="s">
        <v>51</v>
      </c>
      <c r="B31" s="225"/>
      <c r="C31" s="226"/>
      <c r="D31" s="227">
        <f>D5+D6+D7+D8+D11+D12+D13+D14+D15+D16+D17+D18+D19+D20+D21+D22+D25+D26+D27+D29+D30+D28</f>
        <v>26680693</v>
      </c>
      <c r="E31" s="227">
        <f>E5+E6+E7+E8+E11+E12+E13+E14+E15+E16+E17+E18+E19+E20+E21+E22+E25+E26+E27+E29+E30+E28</f>
        <v>19195213.57</v>
      </c>
      <c r="F31" s="227" t="s">
        <v>63</v>
      </c>
      <c r="G31" s="227">
        <f>G5+G6+G7+G8+G11+G12+G13+G14+G15+G16+G17+G18+G19+G20+G21+G22+G25+G26+G27+G29+G30+G28</f>
        <v>3010831.79</v>
      </c>
      <c r="H31" s="226" t="e">
        <f t="shared" si="0"/>
        <v>#VALUE!</v>
      </c>
      <c r="I31" s="226" t="e">
        <f t="shared" si="2"/>
        <v>#DIV/0!</v>
      </c>
      <c r="J31" s="226" t="e">
        <f t="shared" si="3"/>
        <v>#VALUE!</v>
      </c>
    </row>
    <row r="33" ht="17.25" customHeight="1" spans="1:9">
      <c r="A33" s="228" t="s">
        <v>52</v>
      </c>
      <c r="B33" s="228"/>
      <c r="C33" s="228"/>
      <c r="D33" s="228"/>
      <c r="E33" s="229"/>
      <c r="F33" s="230" t="s">
        <v>53</v>
      </c>
      <c r="G33" s="230"/>
      <c r="H33" s="230"/>
      <c r="I33" s="230"/>
    </row>
  </sheetData>
  <mergeCells count="3">
    <mergeCell ref="A2:I2"/>
    <mergeCell ref="A33:C33"/>
    <mergeCell ref="F33:I33"/>
  </mergeCells>
  <pageMargins left="0.708661417322835" right="0.118110236220472" top="0.15748031496063" bottom="0.078740157480315" header="0.31496062992126" footer="0.31496062992126"/>
  <pageSetup paperSize="9" scale="80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1"/>
  <sheetViews>
    <sheetView topLeftCell="A8" workbookViewId="0">
      <selection activeCell="A8" sqref="$A1:$XFD1048576"/>
    </sheetView>
  </sheetViews>
  <sheetFormatPr defaultColWidth="9" defaultRowHeight="15"/>
  <cols>
    <col min="1" max="1" width="10.5714285714286" customWidth="1"/>
    <col min="2" max="2" width="36" style="2" customWidth="1"/>
    <col min="3" max="3" width="19.7142857142857" style="3" customWidth="1"/>
    <col min="4" max="4" width="20.4285714285714" style="3" customWidth="1"/>
    <col min="5" max="5" width="17.5714285714286" style="3" customWidth="1"/>
    <col min="6" max="6" width="10.1428571428571" style="3" customWidth="1"/>
    <col min="7" max="7" width="5.71428571428571" customWidth="1"/>
  </cols>
  <sheetData>
    <row r="1" customFormat="1" ht="64.5" spans="1:6">
      <c r="A1" s="4" t="s">
        <v>115</v>
      </c>
      <c r="B1" s="5" t="s">
        <v>116</v>
      </c>
      <c r="C1" s="6" t="s">
        <v>66</v>
      </c>
      <c r="D1" s="6" t="s">
        <v>67</v>
      </c>
      <c r="E1" s="7" t="s">
        <v>117</v>
      </c>
      <c r="F1" s="8" t="s">
        <v>118</v>
      </c>
    </row>
    <row r="2" customFormat="1" ht="16.5" spans="1:6">
      <c r="A2" s="9">
        <v>100</v>
      </c>
      <c r="B2" s="10" t="s">
        <v>119</v>
      </c>
      <c r="C2" s="11">
        <f>SUM(C3:C8)</f>
        <v>22936473.43</v>
      </c>
      <c r="D2" s="11">
        <f>SUM(D3:D8)</f>
        <v>15109019.15</v>
      </c>
      <c r="E2" s="12">
        <f t="shared" ref="E2:E34" si="0">C2-D2</f>
        <v>7827454.28</v>
      </c>
      <c r="F2" s="13">
        <f t="shared" ref="F2:F34" si="1">D2/C2*100</f>
        <v>65.8733313824871</v>
      </c>
    </row>
    <row r="3" customFormat="1" ht="23.25" spans="1:6">
      <c r="A3" s="14">
        <v>102</v>
      </c>
      <c r="B3" s="15" t="s">
        <v>120</v>
      </c>
      <c r="C3" s="16">
        <f>850800+257000</f>
        <v>1107800</v>
      </c>
      <c r="D3" s="16">
        <v>770139.21</v>
      </c>
      <c r="E3" s="17">
        <f t="shared" si="0"/>
        <v>337660.79</v>
      </c>
      <c r="F3" s="13">
        <f t="shared" si="1"/>
        <v>69.5196975988446</v>
      </c>
    </row>
    <row r="4" customFormat="1" ht="45.75" spans="1:6">
      <c r="A4" s="14">
        <v>104</v>
      </c>
      <c r="B4" s="18" t="s">
        <v>10</v>
      </c>
      <c r="C4" s="16">
        <v>7200800</v>
      </c>
      <c r="D4" s="16">
        <v>4677405.63</v>
      </c>
      <c r="E4" s="17">
        <f t="shared" si="0"/>
        <v>2523394.37</v>
      </c>
      <c r="F4" s="13">
        <f t="shared" si="1"/>
        <v>64.9567496667037</v>
      </c>
    </row>
    <row r="5" customFormat="1" ht="38.25" customHeight="1" spans="1:6">
      <c r="A5" s="19">
        <v>106</v>
      </c>
      <c r="B5" s="20" t="s">
        <v>152</v>
      </c>
      <c r="C5" s="16">
        <v>286600</v>
      </c>
      <c r="D5" s="16">
        <v>143300</v>
      </c>
      <c r="E5" s="17">
        <f t="shared" si="0"/>
        <v>143300</v>
      </c>
      <c r="F5" s="13">
        <f t="shared" si="1"/>
        <v>50</v>
      </c>
    </row>
    <row r="6" customFormat="1" ht="25.5" hidden="1" customHeight="1" spans="1:6">
      <c r="A6" s="14">
        <v>107</v>
      </c>
      <c r="B6" s="21" t="s">
        <v>153</v>
      </c>
      <c r="C6" s="16"/>
      <c r="D6" s="16">
        <v>0</v>
      </c>
      <c r="E6" s="17">
        <f t="shared" si="0"/>
        <v>0</v>
      </c>
      <c r="F6" s="13"/>
    </row>
    <row r="7" customFormat="1" ht="16.5" spans="1:6">
      <c r="A7" s="19">
        <v>111</v>
      </c>
      <c r="B7" s="22" t="s">
        <v>12</v>
      </c>
      <c r="C7" s="16">
        <v>50000</v>
      </c>
      <c r="D7" s="16">
        <v>0</v>
      </c>
      <c r="E7" s="17">
        <f t="shared" si="0"/>
        <v>50000</v>
      </c>
      <c r="F7" s="13">
        <f t="shared" si="1"/>
        <v>0</v>
      </c>
    </row>
    <row r="8" customFormat="1" ht="16.5" spans="1:6">
      <c r="A8" s="14">
        <v>113</v>
      </c>
      <c r="B8" s="15" t="s">
        <v>121</v>
      </c>
      <c r="C8" s="16">
        <v>14291273.43</v>
      </c>
      <c r="D8" s="23">
        <v>9518174.31</v>
      </c>
      <c r="E8" s="17">
        <f t="shared" si="0"/>
        <v>4773099.12</v>
      </c>
      <c r="F8" s="13">
        <f t="shared" si="1"/>
        <v>66.6013029323168</v>
      </c>
    </row>
    <row r="9" customFormat="1" ht="16.5" spans="1:6">
      <c r="A9" s="9">
        <v>200</v>
      </c>
      <c r="B9" s="10" t="s">
        <v>122</v>
      </c>
      <c r="C9" s="11">
        <f>C10</f>
        <v>490600</v>
      </c>
      <c r="D9" s="11">
        <f>D10</f>
        <v>315161.57</v>
      </c>
      <c r="E9" s="12">
        <f t="shared" si="0"/>
        <v>175438.43</v>
      </c>
      <c r="F9" s="13">
        <f t="shared" si="1"/>
        <v>64.2400264981655</v>
      </c>
    </row>
    <row r="10" customFormat="1" ht="16.5" spans="1:6">
      <c r="A10" s="14">
        <v>203</v>
      </c>
      <c r="B10" s="15" t="s">
        <v>123</v>
      </c>
      <c r="C10" s="16">
        <v>490600</v>
      </c>
      <c r="D10" s="16">
        <v>315161.57</v>
      </c>
      <c r="E10" s="24">
        <f t="shared" si="0"/>
        <v>175438.43</v>
      </c>
      <c r="F10" s="13">
        <f t="shared" si="1"/>
        <v>64.2400264981655</v>
      </c>
    </row>
    <row r="11" customFormat="1" ht="21.75" spans="1:6">
      <c r="A11" s="9">
        <v>300</v>
      </c>
      <c r="B11" s="10" t="s">
        <v>124</v>
      </c>
      <c r="C11" s="11">
        <f>SUM(C12:C13)</f>
        <v>120000</v>
      </c>
      <c r="D11" s="11">
        <f>SUM(D12:D13)</f>
        <v>64774</v>
      </c>
      <c r="E11" s="12">
        <f t="shared" si="0"/>
        <v>55226</v>
      </c>
      <c r="F11" s="13">
        <f t="shared" si="1"/>
        <v>53.9783333333333</v>
      </c>
    </row>
    <row r="12" customFormat="1" ht="34.5" spans="1:6">
      <c r="A12" s="14">
        <v>309</v>
      </c>
      <c r="B12" s="25" t="s">
        <v>125</v>
      </c>
      <c r="C12" s="26">
        <f>5000+45000</f>
        <v>50000</v>
      </c>
      <c r="D12" s="16">
        <v>0</v>
      </c>
      <c r="E12" s="24">
        <f t="shared" si="0"/>
        <v>50000</v>
      </c>
      <c r="F12" s="13">
        <f t="shared" si="1"/>
        <v>0</v>
      </c>
    </row>
    <row r="13" customFormat="1" ht="23.25" spans="1:6">
      <c r="A13" s="14">
        <v>314</v>
      </c>
      <c r="B13" s="27" t="s">
        <v>126</v>
      </c>
      <c r="C13" s="16">
        <f>70000</f>
        <v>70000</v>
      </c>
      <c r="D13" s="16">
        <v>64774</v>
      </c>
      <c r="E13" s="24">
        <f t="shared" si="0"/>
        <v>5226</v>
      </c>
      <c r="F13" s="13">
        <f t="shared" si="1"/>
        <v>92.5342857142857</v>
      </c>
    </row>
    <row r="14" customFormat="1" ht="16.5" spans="1:6">
      <c r="A14" s="9">
        <v>400</v>
      </c>
      <c r="B14" s="28" t="s">
        <v>127</v>
      </c>
      <c r="C14" s="11">
        <f>SUM(C15:C17)</f>
        <v>18639831.32</v>
      </c>
      <c r="D14" s="11">
        <f>SUM(D16:D17)</f>
        <v>14590558.83</v>
      </c>
      <c r="E14" s="12">
        <f t="shared" si="0"/>
        <v>4049272.49</v>
      </c>
      <c r="F14" s="13">
        <f t="shared" si="1"/>
        <v>78.2762385534291</v>
      </c>
    </row>
    <row r="15" customFormat="1" ht="23.25" spans="1:6">
      <c r="A15" s="14">
        <v>401</v>
      </c>
      <c r="B15" s="15" t="s">
        <v>205</v>
      </c>
      <c r="C15" s="16">
        <v>0</v>
      </c>
      <c r="D15" s="29"/>
      <c r="E15" s="24">
        <f t="shared" si="0"/>
        <v>0</v>
      </c>
      <c r="F15" s="13" t="e">
        <f t="shared" si="1"/>
        <v>#DIV/0!</v>
      </c>
    </row>
    <row r="16" customFormat="1" ht="16.5" spans="1:6">
      <c r="A16" s="14">
        <v>409</v>
      </c>
      <c r="B16" s="15" t="s">
        <v>27</v>
      </c>
      <c r="C16" s="16">
        <v>18519831.32</v>
      </c>
      <c r="D16" s="16">
        <v>14580577.83</v>
      </c>
      <c r="E16" s="24">
        <f t="shared" si="0"/>
        <v>3939253.49</v>
      </c>
      <c r="F16" s="13">
        <f t="shared" si="1"/>
        <v>78.7295390442033</v>
      </c>
    </row>
    <row r="17" customFormat="1" ht="23.25" spans="1:6">
      <c r="A17" s="14">
        <v>412</v>
      </c>
      <c r="B17" s="15" t="s">
        <v>128</v>
      </c>
      <c r="C17" s="16">
        <v>120000</v>
      </c>
      <c r="D17" s="16">
        <v>9981</v>
      </c>
      <c r="E17" s="24">
        <f t="shared" si="0"/>
        <v>110019</v>
      </c>
      <c r="F17" s="13">
        <f t="shared" si="1"/>
        <v>8.3175</v>
      </c>
    </row>
    <row r="18" customFormat="1" ht="16.5" spans="1:6">
      <c r="A18" s="9">
        <v>500</v>
      </c>
      <c r="B18" s="10" t="s">
        <v>129</v>
      </c>
      <c r="C18" s="11">
        <f>SUM(C19:C20)</f>
        <v>8509522.8</v>
      </c>
      <c r="D18" s="11">
        <f>SUM(D19:D20)</f>
        <v>3971215.43</v>
      </c>
      <c r="E18" s="12">
        <f t="shared" si="0"/>
        <v>4538307.37</v>
      </c>
      <c r="F18" s="13">
        <f t="shared" si="1"/>
        <v>46.6678981105732</v>
      </c>
    </row>
    <row r="19" customFormat="1" ht="16.5" spans="1:6">
      <c r="A19" s="14">
        <v>502</v>
      </c>
      <c r="B19" s="15" t="s">
        <v>31</v>
      </c>
      <c r="C19" s="16">
        <v>2080000</v>
      </c>
      <c r="D19" s="16">
        <v>24000</v>
      </c>
      <c r="E19" s="24">
        <f t="shared" si="0"/>
        <v>2056000</v>
      </c>
      <c r="F19" s="13">
        <f t="shared" si="1"/>
        <v>1.15384615384615</v>
      </c>
    </row>
    <row r="20" customFormat="1" ht="16.5" spans="1:6">
      <c r="A20" s="14">
        <v>503</v>
      </c>
      <c r="B20" s="15" t="s">
        <v>33</v>
      </c>
      <c r="C20" s="16">
        <v>6429522.8</v>
      </c>
      <c r="D20" s="16">
        <v>3947215.43</v>
      </c>
      <c r="E20" s="24">
        <f t="shared" si="0"/>
        <v>2482307.37</v>
      </c>
      <c r="F20" s="13">
        <f t="shared" si="1"/>
        <v>61.3920434343899</v>
      </c>
    </row>
    <row r="21" customFormat="1" ht="16.5" spans="1:6">
      <c r="A21" s="9">
        <v>700</v>
      </c>
      <c r="B21" s="10" t="s">
        <v>130</v>
      </c>
      <c r="C21" s="11">
        <f>SUM(C22:C23)</f>
        <v>80000</v>
      </c>
      <c r="D21" s="11">
        <f>SUM(D22:D23)</f>
        <v>48600</v>
      </c>
      <c r="E21" s="12">
        <f t="shared" si="0"/>
        <v>31400</v>
      </c>
      <c r="F21" s="13">
        <f t="shared" si="1"/>
        <v>60.75</v>
      </c>
    </row>
    <row r="22" customFormat="1" ht="16.5" spans="1:6">
      <c r="A22" s="14">
        <v>705</v>
      </c>
      <c r="B22" s="15" t="s">
        <v>174</v>
      </c>
      <c r="C22" s="16">
        <v>50000</v>
      </c>
      <c r="D22" s="16">
        <v>48600</v>
      </c>
      <c r="E22" s="24">
        <f t="shared" si="0"/>
        <v>1400</v>
      </c>
      <c r="F22" s="13">
        <f t="shared" si="1"/>
        <v>97.2</v>
      </c>
    </row>
    <row r="23" customFormat="1" ht="16.5" spans="1:6">
      <c r="A23" s="14">
        <v>707</v>
      </c>
      <c r="B23" s="15" t="s">
        <v>35</v>
      </c>
      <c r="C23" s="16">
        <f>30000</f>
        <v>30000</v>
      </c>
      <c r="D23" s="16">
        <v>0</v>
      </c>
      <c r="E23" s="24">
        <f t="shared" si="0"/>
        <v>30000</v>
      </c>
      <c r="F23" s="13">
        <f t="shared" si="1"/>
        <v>0</v>
      </c>
    </row>
    <row r="24" customFormat="1" ht="16.5" spans="1:6">
      <c r="A24" s="9">
        <v>800</v>
      </c>
      <c r="B24" s="10" t="s">
        <v>131</v>
      </c>
      <c r="C24" s="29">
        <f>SUM(C25:C26)</f>
        <v>16082064</v>
      </c>
      <c r="D24" s="11">
        <f>SUM(D25:D26)</f>
        <v>3870985.14</v>
      </c>
      <c r="E24" s="12">
        <f t="shared" si="0"/>
        <v>12211078.86</v>
      </c>
      <c r="F24" s="13">
        <f t="shared" si="1"/>
        <v>24.0702010637441</v>
      </c>
    </row>
    <row r="25" customFormat="1" ht="16.5" spans="1:6">
      <c r="A25" s="14">
        <v>801</v>
      </c>
      <c r="B25" s="15" t="s">
        <v>132</v>
      </c>
      <c r="C25" s="16">
        <v>15732064</v>
      </c>
      <c r="D25" s="16">
        <v>3713935.14</v>
      </c>
      <c r="E25" s="17">
        <f t="shared" si="0"/>
        <v>12018128.86</v>
      </c>
      <c r="F25" s="13">
        <f t="shared" si="1"/>
        <v>23.6074245566252</v>
      </c>
    </row>
    <row r="26" customFormat="1" ht="16.5" spans="1:6">
      <c r="A26" s="14">
        <v>804</v>
      </c>
      <c r="B26" s="15" t="s">
        <v>133</v>
      </c>
      <c r="C26" s="16">
        <v>350000</v>
      </c>
      <c r="D26" s="16">
        <v>157050</v>
      </c>
      <c r="E26" s="17">
        <f t="shared" si="0"/>
        <v>192950</v>
      </c>
      <c r="F26" s="13">
        <f t="shared" si="1"/>
        <v>44.8714285714286</v>
      </c>
    </row>
    <row r="27" customFormat="1" ht="16.5" hidden="1" spans="1:6">
      <c r="A27" s="9">
        <v>1000</v>
      </c>
      <c r="B27" s="10" t="s">
        <v>134</v>
      </c>
      <c r="C27" s="29">
        <f>C28</f>
        <v>0</v>
      </c>
      <c r="D27" s="29">
        <f>D28</f>
        <v>0</v>
      </c>
      <c r="E27" s="17">
        <f t="shared" si="0"/>
        <v>0</v>
      </c>
      <c r="F27" s="13" t="e">
        <f t="shared" si="1"/>
        <v>#DIV/0!</v>
      </c>
    </row>
    <row r="28" customFormat="1" ht="16.5" hidden="1" spans="1:6">
      <c r="A28" s="14">
        <v>1003</v>
      </c>
      <c r="B28" s="15" t="s">
        <v>135</v>
      </c>
      <c r="C28" s="16">
        <v>0</v>
      </c>
      <c r="D28" s="16">
        <v>0</v>
      </c>
      <c r="E28" s="17">
        <f t="shared" si="0"/>
        <v>0</v>
      </c>
      <c r="F28" s="13" t="e">
        <f t="shared" si="1"/>
        <v>#DIV/0!</v>
      </c>
    </row>
    <row r="29" customFormat="1" ht="16.5" spans="1:6">
      <c r="A29" s="14">
        <v>1001</v>
      </c>
      <c r="B29" s="15" t="s">
        <v>212</v>
      </c>
      <c r="C29" s="16">
        <v>230000</v>
      </c>
      <c r="D29" s="16">
        <v>153132.4</v>
      </c>
      <c r="E29" s="17">
        <f t="shared" si="0"/>
        <v>76867.6</v>
      </c>
      <c r="F29" s="13">
        <f t="shared" si="1"/>
        <v>66.5793043478261</v>
      </c>
    </row>
    <row r="30" customFormat="1" ht="16.5" spans="1:6">
      <c r="A30" s="9">
        <v>1100</v>
      </c>
      <c r="B30" s="10" t="s">
        <v>136</v>
      </c>
      <c r="C30" s="29">
        <f>C31+C32</f>
        <v>14854974.36</v>
      </c>
      <c r="D30" s="11">
        <f>D31+D32</f>
        <v>8628505.4</v>
      </c>
      <c r="E30" s="30">
        <f t="shared" si="0"/>
        <v>6226468.96</v>
      </c>
      <c r="F30" s="13">
        <f t="shared" si="1"/>
        <v>58.0849565330384</v>
      </c>
    </row>
    <row r="31" customFormat="1" ht="16.5" spans="1:6">
      <c r="A31" s="14">
        <v>1101</v>
      </c>
      <c r="B31" s="15" t="s">
        <v>137</v>
      </c>
      <c r="C31" s="16">
        <v>1375800</v>
      </c>
      <c r="D31" s="31">
        <v>817959.4</v>
      </c>
      <c r="E31" s="24">
        <f t="shared" si="0"/>
        <v>557840.6</v>
      </c>
      <c r="F31" s="13">
        <f t="shared" si="1"/>
        <v>59.453365314726</v>
      </c>
    </row>
    <row r="32" customFormat="1" ht="16.5" customHeight="1" spans="1:6">
      <c r="A32" s="14">
        <v>1102</v>
      </c>
      <c r="B32" s="15" t="s">
        <v>150</v>
      </c>
      <c r="C32" s="32">
        <v>13479174.36</v>
      </c>
      <c r="D32" s="33">
        <v>7810546</v>
      </c>
      <c r="E32" s="24">
        <f t="shared" si="0"/>
        <v>5668628.36</v>
      </c>
      <c r="F32" s="13">
        <f t="shared" si="1"/>
        <v>57.9452850107653</v>
      </c>
    </row>
    <row r="33" customFormat="1" ht="21.75" customHeight="1" spans="1:6">
      <c r="A33" s="34">
        <v>1204</v>
      </c>
      <c r="B33" s="35" t="s">
        <v>151</v>
      </c>
      <c r="C33" s="36">
        <v>150000</v>
      </c>
      <c r="D33" s="37">
        <v>73084</v>
      </c>
      <c r="E33" s="24">
        <f t="shared" si="0"/>
        <v>76916</v>
      </c>
      <c r="F33" s="38">
        <f t="shared" si="1"/>
        <v>48.7226666666667</v>
      </c>
    </row>
    <row r="34" s="1" customFormat="1" ht="16.5" spans="1:24">
      <c r="A34" s="39">
        <v>1301</v>
      </c>
      <c r="B34" s="40" t="s">
        <v>206</v>
      </c>
      <c r="C34" s="41">
        <v>2500</v>
      </c>
      <c r="D34" s="13">
        <v>0</v>
      </c>
      <c r="E34" s="24">
        <f t="shared" si="0"/>
        <v>2500</v>
      </c>
      <c r="F34" s="13">
        <f t="shared" si="1"/>
        <v>0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customFormat="1" ht="23.25" hidden="1" spans="1:6">
      <c r="A35" s="43">
        <v>1300</v>
      </c>
      <c r="B35" s="44" t="s">
        <v>154</v>
      </c>
      <c r="C35" s="45">
        <v>0</v>
      </c>
      <c r="D35" s="45"/>
      <c r="E35" s="30"/>
      <c r="F35" s="46"/>
    </row>
    <row r="36" customFormat="1" ht="23.25" hidden="1" spans="1:6">
      <c r="A36" s="47">
        <v>1301</v>
      </c>
      <c r="B36" s="48" t="s">
        <v>154</v>
      </c>
      <c r="C36" s="49">
        <v>0</v>
      </c>
      <c r="D36" s="49">
        <v>0</v>
      </c>
      <c r="E36" s="30">
        <f t="shared" ref="E36:E40" si="2">D36-C36</f>
        <v>0</v>
      </c>
      <c r="F36" s="13" t="e">
        <f t="shared" ref="F36:F39" si="3">D36/C36*100</f>
        <v>#DIV/0!</v>
      </c>
    </row>
    <row r="37" customFormat="1" ht="16.5" hidden="1" spans="1:6">
      <c r="A37" s="50" t="s">
        <v>140</v>
      </c>
      <c r="B37" s="51" t="s">
        <v>141</v>
      </c>
      <c r="C37" s="52">
        <f>C39</f>
        <v>0</v>
      </c>
      <c r="D37" s="53">
        <f>D39</f>
        <v>0</v>
      </c>
      <c r="E37" s="30">
        <f t="shared" si="2"/>
        <v>0</v>
      </c>
      <c r="F37" s="13" t="e">
        <f t="shared" si="3"/>
        <v>#DIV/0!</v>
      </c>
    </row>
    <row r="38" customFormat="1" ht="16.5" hidden="1" spans="1:6">
      <c r="A38" s="9"/>
      <c r="B38" s="10" t="s">
        <v>142</v>
      </c>
      <c r="C38" s="54"/>
      <c r="D38" s="54"/>
      <c r="E38" s="30">
        <f t="shared" si="2"/>
        <v>0</v>
      </c>
      <c r="F38" s="13"/>
    </row>
    <row r="39" customFormat="1" ht="16.5" hidden="1" spans="1:6">
      <c r="A39" s="55" t="s">
        <v>143</v>
      </c>
      <c r="B39" s="56" t="s">
        <v>144</v>
      </c>
      <c r="C39" s="57">
        <v>0</v>
      </c>
      <c r="D39" s="57">
        <v>0</v>
      </c>
      <c r="E39" s="30">
        <f t="shared" si="2"/>
        <v>0</v>
      </c>
      <c r="F39" s="13" t="e">
        <f t="shared" si="3"/>
        <v>#DIV/0!</v>
      </c>
    </row>
    <row r="40" customFormat="1" ht="16.5" hidden="1" spans="1:6">
      <c r="A40" s="14"/>
      <c r="B40" s="15" t="s">
        <v>145</v>
      </c>
      <c r="C40" s="26"/>
      <c r="D40" s="26"/>
      <c r="E40" s="30">
        <f t="shared" si="2"/>
        <v>0</v>
      </c>
      <c r="F40" s="13"/>
    </row>
    <row r="41" customFormat="1" ht="16.5" spans="1:6">
      <c r="A41" s="9">
        <v>9800</v>
      </c>
      <c r="B41" s="10" t="s">
        <v>146</v>
      </c>
      <c r="C41" s="11">
        <f>C2+C9+C11+C14+C18+C21+C24+C30+C29+C33+C34</f>
        <v>82095965.91</v>
      </c>
      <c r="D41" s="29">
        <f>D2+D9+D11+D14+D18+D21+D24+D30+D29+D33</f>
        <v>46825035.92</v>
      </c>
      <c r="E41" s="29">
        <f>E2+E9+E11+E14+E18+E21+E24+E30+E29+E33+E34</f>
        <v>35270929.99</v>
      </c>
      <c r="F41" s="13">
        <f>D41/C41*100</f>
        <v>57.0369510864069</v>
      </c>
    </row>
  </sheetData>
  <mergeCells count="6">
    <mergeCell ref="A37:A38"/>
    <mergeCell ref="A39:A40"/>
    <mergeCell ref="C37:C38"/>
    <mergeCell ref="C39:C40"/>
    <mergeCell ref="D37:D38"/>
    <mergeCell ref="D39:D40"/>
  </mergeCells>
  <pageMargins left="0.75" right="0.75" top="1" bottom="1" header="0.5" footer="0.5"/>
  <pageSetup paperSize="9" scale="75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opLeftCell="A27" workbookViewId="0">
      <selection activeCell="A27" sqref="$A1:$XFD1048576"/>
    </sheetView>
  </sheetViews>
  <sheetFormatPr defaultColWidth="9" defaultRowHeight="15" outlineLevelCol="5"/>
  <cols>
    <col min="1" max="1" width="19.4285714285714" customWidth="1"/>
    <col min="2" max="2" width="32.1428571428571" style="2" customWidth="1"/>
    <col min="3" max="3" width="21.2857142857143" style="63" customWidth="1"/>
    <col min="4" max="4" width="19.5714285714286" style="3" customWidth="1"/>
    <col min="5" max="5" width="18.8571428571429" style="3" customWidth="1"/>
    <col min="6" max="6" width="11.7142857142857" customWidth="1"/>
  </cols>
  <sheetData>
    <row r="1" ht="60.75" customHeight="1" spans="1:6">
      <c r="A1" s="64" t="s">
        <v>64</v>
      </c>
      <c r="B1" s="65" t="s">
        <v>65</v>
      </c>
      <c r="C1" s="66" t="s">
        <v>66</v>
      </c>
      <c r="D1" s="67" t="s">
        <v>67</v>
      </c>
      <c r="E1" s="68" t="s">
        <v>68</v>
      </c>
      <c r="F1" s="69" t="s">
        <v>69</v>
      </c>
    </row>
    <row r="2" ht="15.75" spans="1:6">
      <c r="A2" s="70"/>
      <c r="B2" s="71"/>
      <c r="C2" s="72"/>
      <c r="D2" s="73"/>
      <c r="E2" s="74" t="s">
        <v>70</v>
      </c>
      <c r="F2" s="69"/>
    </row>
    <row r="3" s="58" customFormat="1" ht="41.25" hidden="1" customHeight="1" spans="1:6">
      <c r="A3" s="75" t="s">
        <v>175</v>
      </c>
      <c r="B3" s="76" t="s">
        <v>156</v>
      </c>
      <c r="C3" s="77">
        <v>0</v>
      </c>
      <c r="D3" s="78">
        <v>0</v>
      </c>
      <c r="E3" s="79">
        <v>0</v>
      </c>
      <c r="F3" s="80" t="e">
        <f t="shared" ref="F3:F15" si="0">D3/C3*100</f>
        <v>#DIV/0!</v>
      </c>
    </row>
    <row r="4" hidden="1"/>
    <row r="5" s="59" customFormat="1" ht="130.5" customHeight="1" spans="1:6">
      <c r="A5" s="81" t="s">
        <v>176</v>
      </c>
      <c r="B5" s="82" t="s">
        <v>177</v>
      </c>
      <c r="C5" s="83">
        <v>3610000</v>
      </c>
      <c r="D5" s="84">
        <v>1954631.99</v>
      </c>
      <c r="E5" s="85">
        <f t="shared" ref="E5:E7" si="1">C5-D5</f>
        <v>1655368.01</v>
      </c>
      <c r="F5" s="86">
        <f t="shared" si="0"/>
        <v>54.1449304709141</v>
      </c>
    </row>
    <row r="6" s="59" customFormat="1" ht="149.25" customHeight="1" spans="1:6">
      <c r="A6" s="81" t="s">
        <v>178</v>
      </c>
      <c r="B6" s="82" t="s">
        <v>179</v>
      </c>
      <c r="C6" s="83">
        <v>35900</v>
      </c>
      <c r="D6" s="83">
        <v>11506.77</v>
      </c>
      <c r="E6" s="85">
        <f t="shared" si="1"/>
        <v>24393.23</v>
      </c>
      <c r="F6" s="86">
        <f t="shared" si="0"/>
        <v>32.0522841225627</v>
      </c>
    </row>
    <row r="7" s="59" customFormat="1" ht="149.25" customHeight="1" spans="1:6">
      <c r="A7" s="81" t="s">
        <v>180</v>
      </c>
      <c r="B7" s="82" t="s">
        <v>181</v>
      </c>
      <c r="C7" s="83">
        <v>4000000</v>
      </c>
      <c r="D7" s="87">
        <v>2251608.19</v>
      </c>
      <c r="E7" s="85">
        <f t="shared" si="1"/>
        <v>1748391.81</v>
      </c>
      <c r="F7" s="86">
        <f t="shared" si="0"/>
        <v>56.29020475</v>
      </c>
    </row>
    <row r="8" s="59" customFormat="1" ht="149.25" customHeight="1" spans="1:6">
      <c r="A8" s="81" t="s">
        <v>182</v>
      </c>
      <c r="B8" s="82" t="s">
        <v>183</v>
      </c>
      <c r="C8" s="83">
        <v>0</v>
      </c>
      <c r="D8" s="84">
        <v>-246706.67</v>
      </c>
      <c r="E8" s="85">
        <v>0</v>
      </c>
      <c r="F8" s="88" t="e">
        <f t="shared" si="0"/>
        <v>#DIV/0!</v>
      </c>
    </row>
    <row r="9" s="59" customFormat="1" ht="38.25" customHeight="1" spans="1:6">
      <c r="A9" s="81" t="s">
        <v>71</v>
      </c>
      <c r="B9" s="82" t="s">
        <v>72</v>
      </c>
      <c r="C9" s="83">
        <v>14040000</v>
      </c>
      <c r="D9" s="84">
        <v>6301794.05</v>
      </c>
      <c r="E9" s="85">
        <f>C9-D9</f>
        <v>7738205.95</v>
      </c>
      <c r="F9" s="86">
        <f t="shared" si="0"/>
        <v>44.884573005698</v>
      </c>
    </row>
    <row r="10" s="59" customFormat="1" ht="108" customHeight="1" spans="1:6">
      <c r="A10" s="81" t="s">
        <v>184</v>
      </c>
      <c r="B10" s="82" t="s">
        <v>185</v>
      </c>
      <c r="C10" s="83">
        <v>0</v>
      </c>
      <c r="D10" s="84">
        <v>105301.27</v>
      </c>
      <c r="E10" s="85"/>
      <c r="F10" s="88" t="e">
        <f t="shared" si="0"/>
        <v>#DIV/0!</v>
      </c>
    </row>
    <row r="11" s="59" customFormat="1" ht="33" customHeight="1" spans="1:6">
      <c r="A11" s="81" t="s">
        <v>186</v>
      </c>
      <c r="B11" s="82" t="s">
        <v>187</v>
      </c>
      <c r="C11" s="83">
        <v>0</v>
      </c>
      <c r="D11" s="84">
        <v>154577.63</v>
      </c>
      <c r="E11" s="85"/>
      <c r="F11" s="88" t="e">
        <f t="shared" si="0"/>
        <v>#DIV/0!</v>
      </c>
    </row>
    <row r="12" s="59" customFormat="1" ht="88.5" customHeight="1" spans="1:6">
      <c r="A12" s="89" t="s">
        <v>188</v>
      </c>
      <c r="B12" s="90" t="s">
        <v>189</v>
      </c>
      <c r="C12" s="91">
        <v>0</v>
      </c>
      <c r="D12" s="92">
        <v>168294.5</v>
      </c>
      <c r="E12" s="85"/>
      <c r="F12" s="94" t="e">
        <f t="shared" si="0"/>
        <v>#DIV/0!</v>
      </c>
    </row>
    <row r="13" s="59" customFormat="1" ht="25.5" customHeight="1" spans="1:6">
      <c r="A13" s="95" t="s">
        <v>190</v>
      </c>
      <c r="B13" s="96" t="s">
        <v>74</v>
      </c>
      <c r="C13" s="97">
        <v>3500000</v>
      </c>
      <c r="D13" s="98">
        <v>2293664.5</v>
      </c>
      <c r="E13" s="85">
        <f>C13-D13</f>
        <v>1206335.5</v>
      </c>
      <c r="F13" s="86">
        <f t="shared" si="0"/>
        <v>65.5332714285714</v>
      </c>
    </row>
    <row r="14" s="59" customFormat="1" ht="19.5" customHeight="1" spans="1:6">
      <c r="A14" s="95" t="s">
        <v>75</v>
      </c>
      <c r="B14" s="96" t="s">
        <v>76</v>
      </c>
      <c r="C14" s="97">
        <v>4050000</v>
      </c>
      <c r="D14" s="98">
        <v>503093.5</v>
      </c>
      <c r="E14" s="85">
        <f t="shared" ref="E14:E18" si="2">C14-D14</f>
        <v>3546906.5</v>
      </c>
      <c r="F14" s="86">
        <f t="shared" si="0"/>
        <v>12.4220617283951</v>
      </c>
    </row>
    <row r="15" s="59" customFormat="1" ht="13.5" customHeight="1" spans="1:6">
      <c r="A15" s="104" t="s">
        <v>77</v>
      </c>
      <c r="B15" s="96" t="s">
        <v>191</v>
      </c>
      <c r="C15" s="105">
        <f>SUM(C17:C18)</f>
        <v>9710000</v>
      </c>
      <c r="D15" s="106">
        <f>SUM(D17:D18)</f>
        <v>1923964.6</v>
      </c>
      <c r="E15" s="106">
        <f>SUM(E17:E18)</f>
        <v>7786035.4</v>
      </c>
      <c r="F15" s="86">
        <f t="shared" si="0"/>
        <v>19.8142595262616</v>
      </c>
    </row>
    <row r="16" s="59" customFormat="1" ht="13.5" hidden="1" customHeight="1" spans="1:6">
      <c r="A16" s="107"/>
      <c r="B16" s="82" t="s">
        <v>79</v>
      </c>
      <c r="C16" s="108"/>
      <c r="D16" s="109"/>
      <c r="E16" s="109"/>
      <c r="F16" s="110"/>
    </row>
    <row r="17" s="59" customFormat="1" ht="47.25" customHeight="1" spans="1:6">
      <c r="A17" s="81" t="s">
        <v>157</v>
      </c>
      <c r="B17" s="111" t="s">
        <v>158</v>
      </c>
      <c r="C17" s="112">
        <v>3400000</v>
      </c>
      <c r="D17" s="113">
        <v>1597749.51</v>
      </c>
      <c r="E17" s="85">
        <f t="shared" si="2"/>
        <v>1802250.49</v>
      </c>
      <c r="F17" s="86">
        <f t="shared" ref="F17:F20" si="3">D17/C17*100</f>
        <v>46.9926326470588</v>
      </c>
    </row>
    <row r="18" s="59" customFormat="1" ht="45.75" spans="1:6">
      <c r="A18" s="81" t="s">
        <v>159</v>
      </c>
      <c r="B18" s="111" t="s">
        <v>160</v>
      </c>
      <c r="C18" s="112">
        <v>6310000</v>
      </c>
      <c r="D18" s="113">
        <v>326215.09</v>
      </c>
      <c r="E18" s="85">
        <f t="shared" si="2"/>
        <v>5983784.91</v>
      </c>
      <c r="F18" s="86">
        <f t="shared" si="3"/>
        <v>5.16981125198098</v>
      </c>
    </row>
    <row r="19" ht="23.25" spans="1:6">
      <c r="A19" s="114" t="s">
        <v>147</v>
      </c>
      <c r="B19" s="115" t="s">
        <v>85</v>
      </c>
      <c r="C19" s="116">
        <v>0</v>
      </c>
      <c r="D19" s="117"/>
      <c r="E19" s="85"/>
      <c r="F19" s="86"/>
    </row>
    <row r="20" ht="21.75" hidden="1" spans="1:6">
      <c r="A20" s="118" t="s">
        <v>86</v>
      </c>
      <c r="B20" s="119" t="s">
        <v>87</v>
      </c>
      <c r="C20" s="120">
        <f>SUM(C22:C24)</f>
        <v>0</v>
      </c>
      <c r="D20" s="121">
        <v>0</v>
      </c>
      <c r="E20" s="85">
        <f t="shared" ref="E20:E26" si="4">C20-D20</f>
        <v>0</v>
      </c>
      <c r="F20" s="86" t="e">
        <f t="shared" si="3"/>
        <v>#DIV/0!</v>
      </c>
    </row>
    <row r="21" ht="15.75" hidden="1" customHeight="1" spans="1:6">
      <c r="A21" s="114"/>
      <c r="B21" s="122" t="s">
        <v>79</v>
      </c>
      <c r="C21" s="123"/>
      <c r="D21" s="124"/>
      <c r="E21" s="85"/>
      <c r="F21" s="86"/>
    </row>
    <row r="22" ht="38.25" hidden="1" customHeight="1" spans="1:6">
      <c r="A22" s="114" t="s">
        <v>88</v>
      </c>
      <c r="B22" s="115" t="s">
        <v>89</v>
      </c>
      <c r="C22" s="116">
        <v>0</v>
      </c>
      <c r="D22" s="125">
        <v>0</v>
      </c>
      <c r="E22" s="85">
        <f t="shared" si="4"/>
        <v>0</v>
      </c>
      <c r="F22" s="86" t="e">
        <f t="shared" ref="F22:F26" si="5">D22/C22*100</f>
        <v>#DIV/0!</v>
      </c>
    </row>
    <row r="23" ht="48" hidden="1" customHeight="1" spans="1:6">
      <c r="A23" s="114" t="s">
        <v>90</v>
      </c>
      <c r="B23" s="115" t="s">
        <v>91</v>
      </c>
      <c r="C23" s="116">
        <v>0</v>
      </c>
      <c r="D23" s="126">
        <v>0</v>
      </c>
      <c r="E23" s="85">
        <f t="shared" si="4"/>
        <v>0</v>
      </c>
      <c r="F23" s="86" t="e">
        <f t="shared" si="5"/>
        <v>#DIV/0!</v>
      </c>
    </row>
    <row r="24" ht="43.5" hidden="1" customHeight="1" spans="1:6">
      <c r="A24" s="114" t="s">
        <v>92</v>
      </c>
      <c r="B24" s="115" t="s">
        <v>93</v>
      </c>
      <c r="C24" s="116">
        <v>0</v>
      </c>
      <c r="D24" s="113">
        <v>0</v>
      </c>
      <c r="E24" s="85">
        <f t="shared" si="4"/>
        <v>0</v>
      </c>
      <c r="F24" s="86" t="e">
        <f t="shared" si="5"/>
        <v>#DIV/0!</v>
      </c>
    </row>
    <row r="25" customFormat="1" ht="80" customHeight="1" spans="1:6">
      <c r="A25" s="114" t="s">
        <v>213</v>
      </c>
      <c r="B25" s="115" t="s">
        <v>214</v>
      </c>
      <c r="C25" s="116">
        <v>184240</v>
      </c>
      <c r="D25" s="113">
        <v>0</v>
      </c>
      <c r="E25" s="85">
        <f t="shared" si="4"/>
        <v>184240</v>
      </c>
      <c r="F25" s="86">
        <f t="shared" si="5"/>
        <v>0</v>
      </c>
    </row>
    <row r="26" s="59" customFormat="1" ht="36" customHeight="1" spans="1:6">
      <c r="A26" s="81" t="s">
        <v>94</v>
      </c>
      <c r="B26" s="82" t="s">
        <v>95</v>
      </c>
      <c r="C26" s="83">
        <v>76416</v>
      </c>
      <c r="D26" s="84">
        <v>38208</v>
      </c>
      <c r="E26" s="85">
        <f t="shared" si="4"/>
        <v>38208</v>
      </c>
      <c r="F26" s="86">
        <f t="shared" si="5"/>
        <v>50</v>
      </c>
    </row>
    <row r="27" s="59" customFormat="1" ht="85.5" customHeight="1" spans="1:6">
      <c r="A27" s="81" t="s">
        <v>215</v>
      </c>
      <c r="B27" s="82" t="s">
        <v>194</v>
      </c>
      <c r="C27" s="83">
        <v>293822</v>
      </c>
      <c r="D27" s="84">
        <v>297889.69</v>
      </c>
      <c r="E27" s="85"/>
      <c r="F27" s="86"/>
    </row>
    <row r="28" s="59" customFormat="1" ht="85" hidden="1" customHeight="1" spans="1:6">
      <c r="A28" s="81" t="s">
        <v>173</v>
      </c>
      <c r="B28" s="82" t="s">
        <v>216</v>
      </c>
      <c r="C28" s="83"/>
      <c r="D28" s="84"/>
      <c r="E28" s="85">
        <f t="shared" ref="E28:E34" si="6">C28-D28</f>
        <v>0</v>
      </c>
      <c r="F28" s="86" t="e">
        <f t="shared" ref="F28:F32" si="7">D28/C28*100</f>
        <v>#DIV/0!</v>
      </c>
    </row>
    <row r="29" s="59" customFormat="1" ht="83.25" customHeight="1" spans="1:6">
      <c r="A29" s="81" t="s">
        <v>195</v>
      </c>
      <c r="B29" s="82" t="s">
        <v>196</v>
      </c>
      <c r="C29" s="83">
        <v>12500</v>
      </c>
      <c r="D29" s="84">
        <v>1000</v>
      </c>
      <c r="E29" s="85">
        <f t="shared" si="6"/>
        <v>11500</v>
      </c>
      <c r="F29" s="86">
        <f t="shared" si="7"/>
        <v>8</v>
      </c>
    </row>
    <row r="30" ht="55.5" hidden="1" customHeight="1" spans="1:6">
      <c r="A30" s="114" t="s">
        <v>98</v>
      </c>
      <c r="B30" s="127" t="s">
        <v>99</v>
      </c>
      <c r="C30" s="128" t="s">
        <v>192</v>
      </c>
      <c r="D30" s="129" t="s">
        <v>192</v>
      </c>
      <c r="E30" s="130" t="s">
        <v>192</v>
      </c>
      <c r="F30" s="86"/>
    </row>
    <row r="31" ht="24.75" hidden="1" customHeight="1" spans="1:6">
      <c r="A31" s="114" t="s">
        <v>100</v>
      </c>
      <c r="B31" s="127" t="s">
        <v>101</v>
      </c>
      <c r="C31" s="128">
        <v>0</v>
      </c>
      <c r="D31" s="129">
        <v>0</v>
      </c>
      <c r="E31" s="130">
        <f t="shared" si="6"/>
        <v>0</v>
      </c>
      <c r="F31" s="86"/>
    </row>
    <row r="32" ht="28.5" hidden="1" customHeight="1" spans="1:6">
      <c r="A32" s="114" t="s">
        <v>148</v>
      </c>
      <c r="B32" s="127" t="s">
        <v>149</v>
      </c>
      <c r="C32" s="128"/>
      <c r="D32" s="129"/>
      <c r="E32" s="130">
        <f t="shared" si="6"/>
        <v>0</v>
      </c>
      <c r="F32" s="86" t="e">
        <f t="shared" si="7"/>
        <v>#DIV/0!</v>
      </c>
    </row>
    <row r="33" ht="33.75" hidden="1" customHeight="1" spans="1:6">
      <c r="A33" s="114" t="s">
        <v>103</v>
      </c>
      <c r="B33" s="127" t="s">
        <v>104</v>
      </c>
      <c r="C33" s="128">
        <v>0</v>
      </c>
      <c r="D33" s="129">
        <v>0</v>
      </c>
      <c r="E33" s="130">
        <f t="shared" si="6"/>
        <v>0</v>
      </c>
      <c r="F33" s="131"/>
    </row>
    <row r="34" ht="37.5" hidden="1" customHeight="1" spans="1:6">
      <c r="A34" s="114" t="s">
        <v>105</v>
      </c>
      <c r="B34" s="127" t="s">
        <v>106</v>
      </c>
      <c r="C34" s="128">
        <v>0</v>
      </c>
      <c r="D34" s="129">
        <v>0</v>
      </c>
      <c r="E34" s="130">
        <f t="shared" si="6"/>
        <v>0</v>
      </c>
      <c r="F34" s="131"/>
    </row>
    <row r="35" ht="15.75" customHeight="1" spans="1:6">
      <c r="A35" s="132" t="s">
        <v>109</v>
      </c>
      <c r="B35" s="133"/>
      <c r="C35" s="134">
        <f>C9+C5+C6+C7+C8+C10+C11+C13+C14+C15+C26+C27+C29+C28+C25+C32</f>
        <v>39512878</v>
      </c>
      <c r="D35" s="134">
        <f>D9+D5+D6+D7+D8+D10+D11+D13+D14+D15+D26+D27+D29+D12+D32+D28+D25+D19</f>
        <v>15758828.02</v>
      </c>
      <c r="E35" s="134">
        <f>E5+E6+E7+E9+E14+E15+E26+E29+E32+E8+E10+E11+E12+E13+E19+E27+E25</f>
        <v>23939584.4</v>
      </c>
      <c r="F35" s="131">
        <f>D35/C35*100</f>
        <v>39.8827643483727</v>
      </c>
    </row>
    <row r="36" s="60" customFormat="1" ht="16.5" spans="1:6">
      <c r="A36" s="135" t="s">
        <v>197</v>
      </c>
      <c r="B36" s="10" t="s">
        <v>198</v>
      </c>
      <c r="C36" s="136">
        <f>C37+C41+C42+C43+C39+C44+C40+C45+C46+C38</f>
        <v>52686800</v>
      </c>
      <c r="D36" s="136">
        <f>D37+D41+D42+D43+D39+D44+D40+D45+D46+D38</f>
        <v>9001358.46</v>
      </c>
      <c r="E36" s="136">
        <f>E37+E41+E42+E43+E39+E44+E40+E45+E38</f>
        <v>43685441.54</v>
      </c>
      <c r="F36" s="137">
        <f>D36/C36*100</f>
        <v>17.0846558530789</v>
      </c>
    </row>
    <row r="37" s="61" customFormat="1" ht="34.5" spans="1:6">
      <c r="A37" s="138" t="s">
        <v>199</v>
      </c>
      <c r="B37" s="111" t="s">
        <v>200</v>
      </c>
      <c r="C37" s="139">
        <v>7045300</v>
      </c>
      <c r="D37" s="112">
        <v>3523100</v>
      </c>
      <c r="E37" s="140">
        <f>C37-D37</f>
        <v>3522200</v>
      </c>
      <c r="F37" s="141">
        <f>D37/C37*100</f>
        <v>50.0063872368813</v>
      </c>
    </row>
    <row r="38" s="61" customFormat="1" ht="34.5" spans="1:6">
      <c r="A38" s="138" t="s">
        <v>218</v>
      </c>
      <c r="B38" s="111" t="s">
        <v>219</v>
      </c>
      <c r="C38" s="139">
        <v>913900</v>
      </c>
      <c r="D38" s="112">
        <v>456900</v>
      </c>
      <c r="E38" s="140">
        <f>C38-D38</f>
        <v>457000</v>
      </c>
      <c r="F38" s="141">
        <f>D38/C38*100</f>
        <v>49.9945289418974</v>
      </c>
    </row>
    <row r="39" s="61" customFormat="1" ht="23.25" spans="1:6">
      <c r="A39" s="138" t="s">
        <v>207</v>
      </c>
      <c r="B39" s="111" t="s">
        <v>208</v>
      </c>
      <c r="C39" s="139">
        <v>212500</v>
      </c>
      <c r="D39" s="112">
        <v>212500</v>
      </c>
      <c r="E39" s="140">
        <f t="shared" ref="E39:E46" si="8">C39-D39</f>
        <v>0</v>
      </c>
      <c r="F39" s="141">
        <f t="shared" ref="F39:F45" si="9">D39/C39*100</f>
        <v>100</v>
      </c>
    </row>
    <row r="40" s="61" customFormat="1" ht="34.5" hidden="1" spans="1:6">
      <c r="A40" s="138" t="s">
        <v>209</v>
      </c>
      <c r="B40" s="111" t="s">
        <v>210</v>
      </c>
      <c r="C40" s="139"/>
      <c r="D40" s="112"/>
      <c r="E40" s="140">
        <f t="shared" si="8"/>
        <v>0</v>
      </c>
      <c r="F40" s="141" t="e">
        <f t="shared" si="9"/>
        <v>#DIV/0!</v>
      </c>
    </row>
    <row r="41" s="61" customFormat="1" ht="28.5" customHeight="1" spans="1:6">
      <c r="A41" s="142" t="s">
        <v>201</v>
      </c>
      <c r="B41" s="143" t="s">
        <v>164</v>
      </c>
      <c r="C41" s="144">
        <v>24915300</v>
      </c>
      <c r="D41" s="112">
        <v>0</v>
      </c>
      <c r="E41" s="140">
        <f t="shared" si="8"/>
        <v>24915300</v>
      </c>
      <c r="F41" s="141">
        <f t="shared" si="9"/>
        <v>0</v>
      </c>
    </row>
    <row r="42" s="61" customFormat="1" ht="30.75" customHeight="1" spans="1:6">
      <c r="A42" s="145" t="s">
        <v>202</v>
      </c>
      <c r="B42" s="146" t="s">
        <v>166</v>
      </c>
      <c r="C42" s="147">
        <v>7600</v>
      </c>
      <c r="D42" s="112">
        <v>0</v>
      </c>
      <c r="E42" s="140">
        <f t="shared" si="8"/>
        <v>7600</v>
      </c>
      <c r="F42" s="148">
        <f t="shared" si="9"/>
        <v>0</v>
      </c>
    </row>
    <row r="43" s="61" customFormat="1" ht="30.75" customHeight="1" spans="1:6">
      <c r="A43" s="145" t="s">
        <v>203</v>
      </c>
      <c r="B43" s="146" t="s">
        <v>168</v>
      </c>
      <c r="C43" s="147">
        <v>492200</v>
      </c>
      <c r="D43" s="112">
        <v>208858.46</v>
      </c>
      <c r="E43" s="140">
        <f t="shared" si="8"/>
        <v>283341.54</v>
      </c>
      <c r="F43" s="148">
        <f t="shared" si="9"/>
        <v>42.4336570499797</v>
      </c>
    </row>
    <row r="44" s="61" customFormat="1" ht="33.75" customHeight="1" spans="1:6">
      <c r="A44" s="145" t="s">
        <v>211</v>
      </c>
      <c r="B44" s="146" t="s">
        <v>170</v>
      </c>
      <c r="C44" s="149">
        <v>7600000</v>
      </c>
      <c r="D44" s="112">
        <v>4600000</v>
      </c>
      <c r="E44" s="140">
        <f t="shared" si="8"/>
        <v>3000000</v>
      </c>
      <c r="F44" s="148">
        <f t="shared" si="9"/>
        <v>60.5263157894737</v>
      </c>
    </row>
    <row r="45" s="59" customFormat="1" ht="16.5" spans="1:6">
      <c r="A45" s="81" t="s">
        <v>204</v>
      </c>
      <c r="B45" s="111" t="s">
        <v>172</v>
      </c>
      <c r="C45" s="112">
        <v>11500000</v>
      </c>
      <c r="D45" s="112">
        <v>0</v>
      </c>
      <c r="E45" s="140">
        <f t="shared" si="8"/>
        <v>11500000</v>
      </c>
      <c r="F45" s="148">
        <f t="shared" si="9"/>
        <v>0</v>
      </c>
    </row>
    <row r="46" s="62" customFormat="1" ht="47.25" hidden="1" customHeight="1" spans="1:6">
      <c r="A46" s="150" t="s">
        <v>204</v>
      </c>
      <c r="B46" s="151" t="s">
        <v>217</v>
      </c>
      <c r="C46" s="152"/>
      <c r="D46" s="152"/>
      <c r="E46" s="153">
        <f t="shared" si="8"/>
        <v>0</v>
      </c>
      <c r="F46" s="154"/>
    </row>
    <row r="47" ht="16.5" spans="1:6">
      <c r="A47" s="132" t="s">
        <v>112</v>
      </c>
      <c r="B47" s="133"/>
      <c r="C47" s="134">
        <f>C36</f>
        <v>52686800</v>
      </c>
      <c r="D47" s="134">
        <f>D36</f>
        <v>9001358.46</v>
      </c>
      <c r="E47" s="134">
        <f>E36</f>
        <v>43685441.54</v>
      </c>
      <c r="F47" s="131">
        <f>D47/C47*100</f>
        <v>17.0846558530789</v>
      </c>
    </row>
    <row r="48" ht="28.5" customHeight="1" spans="1:6">
      <c r="A48" s="132" t="s">
        <v>113</v>
      </c>
      <c r="B48" s="133"/>
      <c r="C48" s="134">
        <f>C35+C47</f>
        <v>92199678</v>
      </c>
      <c r="D48" s="134">
        <f>D35+D47</f>
        <v>24760186.48</v>
      </c>
      <c r="E48" s="134">
        <f>E35+E47</f>
        <v>67625025.94</v>
      </c>
      <c r="F48" s="131">
        <f>D48/C48*100</f>
        <v>26.8549598188401</v>
      </c>
    </row>
  </sheetData>
  <mergeCells count="10">
    <mergeCell ref="A35:B35"/>
    <mergeCell ref="A47:B47"/>
    <mergeCell ref="A48:B48"/>
    <mergeCell ref="A1:A2"/>
    <mergeCell ref="A20:A21"/>
    <mergeCell ref="B1:B2"/>
    <mergeCell ref="C1:C2"/>
    <mergeCell ref="C20:C21"/>
    <mergeCell ref="D1:D2"/>
    <mergeCell ref="D20:D21"/>
  </mergeCells>
  <pageMargins left="0.75" right="0.75" top="1" bottom="1" header="0.5" footer="0.5"/>
  <pageSetup paperSize="9" scale="6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1"/>
  <sheetViews>
    <sheetView topLeftCell="A5" workbookViewId="0">
      <selection activeCell="A5" sqref="$A1:$XFD1048576"/>
    </sheetView>
  </sheetViews>
  <sheetFormatPr defaultColWidth="9" defaultRowHeight="15"/>
  <cols>
    <col min="1" max="1" width="10.5714285714286" customWidth="1"/>
    <col min="2" max="2" width="36" style="2" customWidth="1"/>
    <col min="3" max="3" width="19.7142857142857" style="3" customWidth="1"/>
    <col min="4" max="4" width="20.4285714285714" style="3" customWidth="1"/>
    <col min="5" max="5" width="17.5714285714286" style="3" customWidth="1"/>
    <col min="6" max="6" width="10.1428571428571" style="3" customWidth="1"/>
    <col min="7" max="7" width="5.71428571428571" customWidth="1"/>
  </cols>
  <sheetData>
    <row r="1" customFormat="1" ht="64.5" spans="1:6">
      <c r="A1" s="4" t="s">
        <v>115</v>
      </c>
      <c r="B1" s="5" t="s">
        <v>116</v>
      </c>
      <c r="C1" s="6" t="s">
        <v>66</v>
      </c>
      <c r="D1" s="6" t="s">
        <v>67</v>
      </c>
      <c r="E1" s="7" t="s">
        <v>117</v>
      </c>
      <c r="F1" s="8" t="s">
        <v>118</v>
      </c>
    </row>
    <row r="2" customFormat="1" ht="16.5" spans="1:6">
      <c r="A2" s="9">
        <v>100</v>
      </c>
      <c r="B2" s="10" t="s">
        <v>119</v>
      </c>
      <c r="C2" s="11">
        <f>SUM(C3:C8)</f>
        <v>26224586</v>
      </c>
      <c r="D2" s="11">
        <f>SUM(D3:D8)</f>
        <v>10796295.44</v>
      </c>
      <c r="E2" s="12">
        <f t="shared" ref="E2:E34" si="0">C2-D2</f>
        <v>15428290.56</v>
      </c>
      <c r="F2" s="13">
        <f t="shared" ref="F2:F34" si="1">D2/C2*100</f>
        <v>41.1686020133931</v>
      </c>
    </row>
    <row r="3" customFormat="1" ht="23.25" spans="1:6">
      <c r="A3" s="14">
        <v>102</v>
      </c>
      <c r="B3" s="15" t="s">
        <v>120</v>
      </c>
      <c r="C3" s="16">
        <v>1595400</v>
      </c>
      <c r="D3" s="16">
        <v>581001.08</v>
      </c>
      <c r="E3" s="17">
        <f t="shared" si="0"/>
        <v>1014398.92</v>
      </c>
      <c r="F3" s="13">
        <f t="shared" si="1"/>
        <v>36.4172671430362</v>
      </c>
    </row>
    <row r="4" customFormat="1" ht="45.75" spans="1:6">
      <c r="A4" s="14">
        <v>104</v>
      </c>
      <c r="B4" s="18" t="s">
        <v>10</v>
      </c>
      <c r="C4" s="16">
        <v>8315200</v>
      </c>
      <c r="D4" s="16">
        <v>3538678.35</v>
      </c>
      <c r="E4" s="17">
        <f t="shared" si="0"/>
        <v>4776521.65</v>
      </c>
      <c r="F4" s="13">
        <f t="shared" si="1"/>
        <v>42.5567436742351</v>
      </c>
    </row>
    <row r="5" customFormat="1" ht="38.25" customHeight="1" spans="1:6">
      <c r="A5" s="19">
        <v>106</v>
      </c>
      <c r="B5" s="20" t="s">
        <v>152</v>
      </c>
      <c r="C5" s="16">
        <v>357900</v>
      </c>
      <c r="D5" s="16">
        <v>89475</v>
      </c>
      <c r="E5" s="17">
        <f t="shared" si="0"/>
        <v>268425</v>
      </c>
      <c r="F5" s="13">
        <f t="shared" si="1"/>
        <v>25</v>
      </c>
    </row>
    <row r="6" customFormat="1" ht="25.5" hidden="1" customHeight="1" spans="1:6">
      <c r="A6" s="14">
        <v>107</v>
      </c>
      <c r="B6" s="21" t="s">
        <v>153</v>
      </c>
      <c r="C6" s="16"/>
      <c r="D6" s="16">
        <v>0</v>
      </c>
      <c r="E6" s="17">
        <f t="shared" si="0"/>
        <v>0</v>
      </c>
      <c r="F6" s="13"/>
    </row>
    <row r="7" customFormat="1" ht="16.5" spans="1:6">
      <c r="A7" s="19">
        <v>111</v>
      </c>
      <c r="B7" s="22" t="s">
        <v>12</v>
      </c>
      <c r="C7" s="16">
        <v>50000</v>
      </c>
      <c r="D7" s="16">
        <v>0</v>
      </c>
      <c r="E7" s="17">
        <f t="shared" si="0"/>
        <v>50000</v>
      </c>
      <c r="F7" s="13">
        <f t="shared" si="1"/>
        <v>0</v>
      </c>
    </row>
    <row r="8" customFormat="1" ht="16.5" spans="1:6">
      <c r="A8" s="14">
        <v>113</v>
      </c>
      <c r="B8" s="15" t="s">
        <v>121</v>
      </c>
      <c r="C8" s="16">
        <v>15906086</v>
      </c>
      <c r="D8" s="23">
        <v>6587141.01</v>
      </c>
      <c r="E8" s="17">
        <f t="shared" si="0"/>
        <v>9318944.99</v>
      </c>
      <c r="F8" s="13">
        <f t="shared" si="1"/>
        <v>41.4127083809304</v>
      </c>
    </row>
    <row r="9" customFormat="1" ht="16.5" spans="1:6">
      <c r="A9" s="9">
        <v>200</v>
      </c>
      <c r="B9" s="10" t="s">
        <v>122</v>
      </c>
      <c r="C9" s="11">
        <f>C10</f>
        <v>492200</v>
      </c>
      <c r="D9" s="11">
        <f>D10</f>
        <v>208858.46</v>
      </c>
      <c r="E9" s="12">
        <f t="shared" si="0"/>
        <v>283341.54</v>
      </c>
      <c r="F9" s="13">
        <f t="shared" si="1"/>
        <v>42.4336570499797</v>
      </c>
    </row>
    <row r="10" customFormat="1" ht="16.5" spans="1:6">
      <c r="A10" s="14">
        <v>203</v>
      </c>
      <c r="B10" s="15" t="s">
        <v>123</v>
      </c>
      <c r="C10" s="16">
        <v>492200</v>
      </c>
      <c r="D10" s="16">
        <v>208858.46</v>
      </c>
      <c r="E10" s="24">
        <f t="shared" si="0"/>
        <v>283341.54</v>
      </c>
      <c r="F10" s="13">
        <f t="shared" si="1"/>
        <v>42.4336570499797</v>
      </c>
    </row>
    <row r="11" customFormat="1" ht="21.75" spans="1:6">
      <c r="A11" s="9">
        <v>300</v>
      </c>
      <c r="B11" s="10" t="s">
        <v>124</v>
      </c>
      <c r="C11" s="11">
        <f>SUM(C12:C13)</f>
        <v>145000</v>
      </c>
      <c r="D11" s="11">
        <f>SUM(D12:D13)</f>
        <v>5850</v>
      </c>
      <c r="E11" s="12">
        <f t="shared" si="0"/>
        <v>139150</v>
      </c>
      <c r="F11" s="13">
        <f t="shared" si="1"/>
        <v>4.03448275862069</v>
      </c>
    </row>
    <row r="12" customFormat="1" ht="34.5" spans="1:6">
      <c r="A12" s="14">
        <v>309</v>
      </c>
      <c r="B12" s="25" t="s">
        <v>125</v>
      </c>
      <c r="C12" s="26">
        <v>40000</v>
      </c>
      <c r="D12" s="16">
        <v>0</v>
      </c>
      <c r="E12" s="24">
        <f t="shared" si="0"/>
        <v>40000</v>
      </c>
      <c r="F12" s="13">
        <f t="shared" si="1"/>
        <v>0</v>
      </c>
    </row>
    <row r="13" customFormat="1" ht="23.25" spans="1:6">
      <c r="A13" s="14">
        <v>310</v>
      </c>
      <c r="B13" s="27" t="s">
        <v>126</v>
      </c>
      <c r="C13" s="16">
        <v>105000</v>
      </c>
      <c r="D13" s="16">
        <v>5850</v>
      </c>
      <c r="E13" s="24">
        <f t="shared" si="0"/>
        <v>99150</v>
      </c>
      <c r="F13" s="13">
        <f t="shared" si="1"/>
        <v>5.57142857142857</v>
      </c>
    </row>
    <row r="14" customFormat="1" ht="16.5" spans="1:6">
      <c r="A14" s="9">
        <v>400</v>
      </c>
      <c r="B14" s="28" t="s">
        <v>127</v>
      </c>
      <c r="C14" s="11">
        <f>SUM(C15:C17)</f>
        <v>8285212.89</v>
      </c>
      <c r="D14" s="11">
        <f>SUM(D16:D17)</f>
        <v>4683747.4</v>
      </c>
      <c r="E14" s="12">
        <f t="shared" si="0"/>
        <v>3601465.49</v>
      </c>
      <c r="F14" s="13">
        <f t="shared" si="1"/>
        <v>56.5314067626813</v>
      </c>
    </row>
    <row r="15" customFormat="1" ht="23.25" spans="1:6">
      <c r="A15" s="14">
        <v>401</v>
      </c>
      <c r="B15" s="15" t="s">
        <v>205</v>
      </c>
      <c r="C15" s="16">
        <v>0</v>
      </c>
      <c r="D15" s="29"/>
      <c r="E15" s="24">
        <f t="shared" si="0"/>
        <v>0</v>
      </c>
      <c r="F15" s="13" t="e">
        <f t="shared" si="1"/>
        <v>#DIV/0!</v>
      </c>
    </row>
    <row r="16" customFormat="1" ht="16.5" spans="1:6">
      <c r="A16" s="14">
        <v>409</v>
      </c>
      <c r="B16" s="15" t="s">
        <v>27</v>
      </c>
      <c r="C16" s="16">
        <v>8185212.89</v>
      </c>
      <c r="D16" s="16">
        <v>4683747.4</v>
      </c>
      <c r="E16" s="24">
        <f t="shared" si="0"/>
        <v>3501465.49</v>
      </c>
      <c r="F16" s="13">
        <f t="shared" si="1"/>
        <v>57.2220596207364</v>
      </c>
    </row>
    <row r="17" customFormat="1" ht="23.25" spans="1:6">
      <c r="A17" s="14">
        <v>412</v>
      </c>
      <c r="B17" s="15" t="s">
        <v>128</v>
      </c>
      <c r="C17" s="16">
        <v>100000</v>
      </c>
      <c r="D17" s="16">
        <v>0</v>
      </c>
      <c r="E17" s="24">
        <f t="shared" si="0"/>
        <v>100000</v>
      </c>
      <c r="F17" s="13">
        <f t="shared" si="1"/>
        <v>0</v>
      </c>
    </row>
    <row r="18" customFormat="1" ht="16.5" spans="1:6">
      <c r="A18" s="9">
        <v>500</v>
      </c>
      <c r="B18" s="10" t="s">
        <v>129</v>
      </c>
      <c r="C18" s="11">
        <f>SUM(C19:C20)</f>
        <v>33127059</v>
      </c>
      <c r="D18" s="11">
        <f>SUM(D19:D20)</f>
        <v>4533348.73</v>
      </c>
      <c r="E18" s="12">
        <f t="shared" si="0"/>
        <v>28593710.27</v>
      </c>
      <c r="F18" s="13">
        <f t="shared" si="1"/>
        <v>13.6847304495096</v>
      </c>
    </row>
    <row r="19" customFormat="1" ht="16.5" spans="1:6">
      <c r="A19" s="14">
        <v>502</v>
      </c>
      <c r="B19" s="15" t="s">
        <v>31</v>
      </c>
      <c r="C19" s="16">
        <v>28944059</v>
      </c>
      <c r="D19" s="16">
        <v>1973275.36</v>
      </c>
      <c r="E19" s="24">
        <f t="shared" si="0"/>
        <v>26970783.64</v>
      </c>
      <c r="F19" s="13">
        <f t="shared" si="1"/>
        <v>6.81754884482512</v>
      </c>
    </row>
    <row r="20" customFormat="1" ht="16.5" spans="1:6">
      <c r="A20" s="14">
        <v>503</v>
      </c>
      <c r="B20" s="15" t="s">
        <v>33</v>
      </c>
      <c r="C20" s="16">
        <v>4183000</v>
      </c>
      <c r="D20" s="16">
        <v>2560073.37</v>
      </c>
      <c r="E20" s="24">
        <f t="shared" si="0"/>
        <v>1622926.63</v>
      </c>
      <c r="F20" s="13">
        <f t="shared" si="1"/>
        <v>61.2018496294526</v>
      </c>
    </row>
    <row r="21" customFormat="1" ht="16.5" spans="1:6">
      <c r="A21" s="9">
        <v>700</v>
      </c>
      <c r="B21" s="10" t="s">
        <v>130</v>
      </c>
      <c r="C21" s="11">
        <f>SUM(C22:C23)</f>
        <v>80000</v>
      </c>
      <c r="D21" s="11">
        <f>SUM(D22:D23)</f>
        <v>30000</v>
      </c>
      <c r="E21" s="12">
        <f t="shared" si="0"/>
        <v>50000</v>
      </c>
      <c r="F21" s="13">
        <f t="shared" si="1"/>
        <v>37.5</v>
      </c>
    </row>
    <row r="22" customFormat="1" ht="16.5" spans="1:6">
      <c r="A22" s="14">
        <v>705</v>
      </c>
      <c r="B22" s="15" t="s">
        <v>174</v>
      </c>
      <c r="C22" s="16">
        <v>50000</v>
      </c>
      <c r="D22" s="16">
        <v>0</v>
      </c>
      <c r="E22" s="24">
        <f t="shared" si="0"/>
        <v>50000</v>
      </c>
      <c r="F22" s="13">
        <f t="shared" si="1"/>
        <v>0</v>
      </c>
    </row>
    <row r="23" customFormat="1" ht="16.5" spans="1:6">
      <c r="A23" s="14">
        <v>707</v>
      </c>
      <c r="B23" s="15" t="s">
        <v>35</v>
      </c>
      <c r="C23" s="16">
        <f>30000</f>
        <v>30000</v>
      </c>
      <c r="D23" s="16">
        <v>30000</v>
      </c>
      <c r="E23" s="24">
        <f t="shared" si="0"/>
        <v>0</v>
      </c>
      <c r="F23" s="13">
        <f t="shared" si="1"/>
        <v>100</v>
      </c>
    </row>
    <row r="24" customFormat="1" ht="16.5" spans="1:6">
      <c r="A24" s="9">
        <v>800</v>
      </c>
      <c r="B24" s="10" t="s">
        <v>131</v>
      </c>
      <c r="C24" s="29">
        <f>SUM(C25:C26)</f>
        <v>23003613.66</v>
      </c>
      <c r="D24" s="11">
        <f>SUM(D25:D26)</f>
        <v>3547972.51</v>
      </c>
      <c r="E24" s="12">
        <f t="shared" si="0"/>
        <v>19455641.15</v>
      </c>
      <c r="F24" s="13">
        <f t="shared" si="1"/>
        <v>15.4235441545839</v>
      </c>
    </row>
    <row r="25" customFormat="1" ht="16.5" spans="1:6">
      <c r="A25" s="14">
        <v>801</v>
      </c>
      <c r="B25" s="15" t="s">
        <v>132</v>
      </c>
      <c r="C25" s="16">
        <v>22753613.66</v>
      </c>
      <c r="D25" s="16">
        <v>3400762.51</v>
      </c>
      <c r="E25" s="17">
        <f t="shared" si="0"/>
        <v>19352851.15</v>
      </c>
      <c r="F25" s="13">
        <f t="shared" si="1"/>
        <v>14.9460325766997</v>
      </c>
    </row>
    <row r="26" customFormat="1" ht="16.5" spans="1:6">
      <c r="A26" s="14">
        <v>804</v>
      </c>
      <c r="B26" s="15" t="s">
        <v>133</v>
      </c>
      <c r="C26" s="16">
        <v>250000</v>
      </c>
      <c r="D26" s="16">
        <v>147210</v>
      </c>
      <c r="E26" s="17">
        <f t="shared" si="0"/>
        <v>102790</v>
      </c>
      <c r="F26" s="13">
        <f t="shared" si="1"/>
        <v>58.884</v>
      </c>
    </row>
    <row r="27" customFormat="1" ht="16.5" hidden="1" spans="1:6">
      <c r="A27" s="9">
        <v>1000</v>
      </c>
      <c r="B27" s="10" t="s">
        <v>134</v>
      </c>
      <c r="C27" s="29">
        <f>C28</f>
        <v>0</v>
      </c>
      <c r="D27" s="29">
        <f>D28</f>
        <v>0</v>
      </c>
      <c r="E27" s="17">
        <f t="shared" si="0"/>
        <v>0</v>
      </c>
      <c r="F27" s="13" t="e">
        <f t="shared" si="1"/>
        <v>#DIV/0!</v>
      </c>
    </row>
    <row r="28" customFormat="1" ht="16.5" hidden="1" spans="1:6">
      <c r="A28" s="14">
        <v>1003</v>
      </c>
      <c r="B28" s="15" t="s">
        <v>135</v>
      </c>
      <c r="C28" s="16">
        <v>0</v>
      </c>
      <c r="D28" s="16">
        <v>0</v>
      </c>
      <c r="E28" s="17">
        <f t="shared" si="0"/>
        <v>0</v>
      </c>
      <c r="F28" s="13" t="e">
        <f t="shared" si="1"/>
        <v>#DIV/0!</v>
      </c>
    </row>
    <row r="29" customFormat="1" ht="16.5" spans="1:6">
      <c r="A29" s="14">
        <v>1001</v>
      </c>
      <c r="B29" s="15" t="s">
        <v>212</v>
      </c>
      <c r="C29" s="16">
        <v>250000</v>
      </c>
      <c r="D29" s="16">
        <v>104326.45</v>
      </c>
      <c r="E29" s="17">
        <f t="shared" si="0"/>
        <v>145673.55</v>
      </c>
      <c r="F29" s="13">
        <f t="shared" si="1"/>
        <v>41.73058</v>
      </c>
    </row>
    <row r="30" customFormat="1" ht="16.5" spans="1:6">
      <c r="A30" s="9">
        <v>1100</v>
      </c>
      <c r="B30" s="10" t="s">
        <v>136</v>
      </c>
      <c r="C30" s="29">
        <f>C31+C32</f>
        <v>7640492</v>
      </c>
      <c r="D30" s="11">
        <f>D31+D32</f>
        <v>538447.12</v>
      </c>
      <c r="E30" s="30">
        <f t="shared" si="0"/>
        <v>7102044.88</v>
      </c>
      <c r="F30" s="13">
        <f t="shared" si="1"/>
        <v>7.04728334248632</v>
      </c>
    </row>
    <row r="31" customFormat="1" ht="16.5" spans="1:6">
      <c r="A31" s="14">
        <v>1101</v>
      </c>
      <c r="B31" s="15" t="s">
        <v>137</v>
      </c>
      <c r="C31" s="16">
        <v>4345150</v>
      </c>
      <c r="D31" s="31">
        <v>538447.12</v>
      </c>
      <c r="E31" s="24">
        <f t="shared" si="0"/>
        <v>3806702.88</v>
      </c>
      <c r="F31" s="13">
        <f t="shared" si="1"/>
        <v>12.3919109812089</v>
      </c>
    </row>
    <row r="32" customFormat="1" ht="16.5" customHeight="1" spans="1:6">
      <c r="A32" s="14">
        <v>1102</v>
      </c>
      <c r="B32" s="15" t="s">
        <v>150</v>
      </c>
      <c r="C32" s="32">
        <v>3295342</v>
      </c>
      <c r="D32" s="33">
        <v>0</v>
      </c>
      <c r="E32" s="24">
        <f t="shared" si="0"/>
        <v>3295342</v>
      </c>
      <c r="F32" s="13">
        <f t="shared" si="1"/>
        <v>0</v>
      </c>
    </row>
    <row r="33" customFormat="1" ht="21.75" customHeight="1" spans="1:6">
      <c r="A33" s="34">
        <v>1204</v>
      </c>
      <c r="B33" s="35" t="s">
        <v>151</v>
      </c>
      <c r="C33" s="36">
        <v>150000</v>
      </c>
      <c r="D33" s="37">
        <v>34872</v>
      </c>
      <c r="E33" s="24">
        <f t="shared" si="0"/>
        <v>115128</v>
      </c>
      <c r="F33" s="38">
        <f t="shared" si="1"/>
        <v>23.248</v>
      </c>
    </row>
    <row r="34" s="1" customFormat="1" ht="16.5" spans="1:24">
      <c r="A34" s="39">
        <v>1301</v>
      </c>
      <c r="B34" s="40" t="s">
        <v>206</v>
      </c>
      <c r="C34" s="41">
        <v>2000</v>
      </c>
      <c r="D34" s="13">
        <v>806.57</v>
      </c>
      <c r="E34" s="24">
        <f t="shared" si="0"/>
        <v>1193.43</v>
      </c>
      <c r="F34" s="13">
        <f t="shared" si="1"/>
        <v>40.3285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customFormat="1" ht="23.25" hidden="1" spans="1:6">
      <c r="A35" s="43">
        <v>1300</v>
      </c>
      <c r="B35" s="44" t="s">
        <v>154</v>
      </c>
      <c r="C35" s="45">
        <v>0</v>
      </c>
      <c r="D35" s="45"/>
      <c r="E35" s="30"/>
      <c r="F35" s="46"/>
    </row>
    <row r="36" customFormat="1" ht="23.25" hidden="1" spans="1:6">
      <c r="A36" s="47">
        <v>1301</v>
      </c>
      <c r="B36" s="48" t="s">
        <v>154</v>
      </c>
      <c r="C36" s="49">
        <v>0</v>
      </c>
      <c r="D36" s="49">
        <v>0</v>
      </c>
      <c r="E36" s="30">
        <f t="shared" ref="E36:E40" si="2">D36-C36</f>
        <v>0</v>
      </c>
      <c r="F36" s="13" t="e">
        <f t="shared" ref="F36:F39" si="3">D36/C36*100</f>
        <v>#DIV/0!</v>
      </c>
    </row>
    <row r="37" customFormat="1" ht="16.5" hidden="1" spans="1:6">
      <c r="A37" s="50" t="s">
        <v>140</v>
      </c>
      <c r="B37" s="51" t="s">
        <v>141</v>
      </c>
      <c r="C37" s="52">
        <f>C39</f>
        <v>0</v>
      </c>
      <c r="D37" s="53">
        <f>D39</f>
        <v>0</v>
      </c>
      <c r="E37" s="30">
        <f t="shared" si="2"/>
        <v>0</v>
      </c>
      <c r="F37" s="13" t="e">
        <f t="shared" si="3"/>
        <v>#DIV/0!</v>
      </c>
    </row>
    <row r="38" customFormat="1" ht="16.5" hidden="1" spans="1:6">
      <c r="A38" s="9"/>
      <c r="B38" s="10" t="s">
        <v>142</v>
      </c>
      <c r="C38" s="54"/>
      <c r="D38" s="54"/>
      <c r="E38" s="30">
        <f t="shared" si="2"/>
        <v>0</v>
      </c>
      <c r="F38" s="13"/>
    </row>
    <row r="39" customFormat="1" ht="16.5" hidden="1" spans="1:6">
      <c r="A39" s="55" t="s">
        <v>143</v>
      </c>
      <c r="B39" s="56" t="s">
        <v>144</v>
      </c>
      <c r="C39" s="57">
        <v>0</v>
      </c>
      <c r="D39" s="57">
        <v>0</v>
      </c>
      <c r="E39" s="30">
        <f t="shared" si="2"/>
        <v>0</v>
      </c>
      <c r="F39" s="13" t="e">
        <f t="shared" si="3"/>
        <v>#DIV/0!</v>
      </c>
    </row>
    <row r="40" customFormat="1" ht="16.5" hidden="1" spans="1:6">
      <c r="A40" s="14"/>
      <c r="B40" s="15" t="s">
        <v>145</v>
      </c>
      <c r="C40" s="26"/>
      <c r="D40" s="26"/>
      <c r="E40" s="30">
        <f t="shared" si="2"/>
        <v>0</v>
      </c>
      <c r="F40" s="13"/>
    </row>
    <row r="41" customFormat="1" ht="16.5" spans="1:6">
      <c r="A41" s="9">
        <v>9800</v>
      </c>
      <c r="B41" s="10" t="s">
        <v>146</v>
      </c>
      <c r="C41" s="11">
        <f>C2+C9+C11+C14+C18+C21+C24+C30+C29+C33+C34</f>
        <v>99400163.55</v>
      </c>
      <c r="D41" s="29">
        <f>D2+D9+D11+D14+D18+D21+D24+D30+D29+D33+D34</f>
        <v>24484524.68</v>
      </c>
      <c r="E41" s="29">
        <f>E2+E9+E11+E14+E18+E21+E24+E30+E29+E33+E34</f>
        <v>74915638.87</v>
      </c>
      <c r="F41" s="13">
        <f>D41/C41*100</f>
        <v>24.6322780622829</v>
      </c>
    </row>
  </sheetData>
  <mergeCells count="6">
    <mergeCell ref="A37:A38"/>
    <mergeCell ref="A39:A40"/>
    <mergeCell ref="C37:C38"/>
    <mergeCell ref="C39:C40"/>
    <mergeCell ref="D37:D38"/>
    <mergeCell ref="D39:D40"/>
  </mergeCells>
  <pageMargins left="0.75" right="0.75" top="1" bottom="1" header="0.5" footer="0.5"/>
  <pageSetup paperSize="9" scale="7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topLeftCell="A9" workbookViewId="0">
      <selection activeCell="A13" sqref="A13"/>
    </sheetView>
  </sheetViews>
  <sheetFormatPr defaultColWidth="9" defaultRowHeight="15" outlineLevelCol="5"/>
  <cols>
    <col min="1" max="1" width="19.4285714285714" customWidth="1"/>
    <col min="2" max="2" width="32.1428571428571" style="2" customWidth="1"/>
    <col min="3" max="3" width="21.2857142857143" style="63" customWidth="1"/>
    <col min="4" max="4" width="19.5714285714286" style="3" customWidth="1"/>
    <col min="5" max="5" width="18.8571428571429" style="3" customWidth="1"/>
    <col min="6" max="6" width="11.7142857142857" customWidth="1"/>
  </cols>
  <sheetData>
    <row r="1" ht="60.75" customHeight="1" spans="1:6">
      <c r="A1" s="64" t="s">
        <v>64</v>
      </c>
      <c r="B1" s="65" t="s">
        <v>65</v>
      </c>
      <c r="C1" s="66" t="s">
        <v>66</v>
      </c>
      <c r="D1" s="67" t="s">
        <v>67</v>
      </c>
      <c r="E1" s="68" t="s">
        <v>68</v>
      </c>
      <c r="F1" s="69" t="s">
        <v>69</v>
      </c>
    </row>
    <row r="2" ht="15.75" spans="1:6">
      <c r="A2" s="70"/>
      <c r="B2" s="71"/>
      <c r="C2" s="72"/>
      <c r="D2" s="73"/>
      <c r="E2" s="74" t="s">
        <v>70</v>
      </c>
      <c r="F2" s="69"/>
    </row>
    <row r="3" s="58" customFormat="1" ht="41.25" hidden="1" customHeight="1" spans="1:6">
      <c r="A3" s="75" t="s">
        <v>175</v>
      </c>
      <c r="B3" s="76" t="s">
        <v>156</v>
      </c>
      <c r="C3" s="77">
        <v>0</v>
      </c>
      <c r="D3" s="78">
        <v>0</v>
      </c>
      <c r="E3" s="79">
        <v>0</v>
      </c>
      <c r="F3" s="80" t="e">
        <f t="shared" ref="F3:F15" si="0">D3/C3*100</f>
        <v>#DIV/0!</v>
      </c>
    </row>
    <row r="4" hidden="1"/>
    <row r="5" s="59" customFormat="1" ht="130.5" customHeight="1" spans="1:6">
      <c r="A5" s="81" t="s">
        <v>176</v>
      </c>
      <c r="B5" s="82" t="s">
        <v>177</v>
      </c>
      <c r="C5" s="83">
        <v>3610000</v>
      </c>
      <c r="D5" s="84">
        <v>3084089.03</v>
      </c>
      <c r="E5" s="85">
        <f t="shared" ref="E5:E7" si="1">C5-D5</f>
        <v>525910.97</v>
      </c>
      <c r="F5" s="86">
        <f t="shared" si="0"/>
        <v>85.4318290858726</v>
      </c>
    </row>
    <row r="6" s="59" customFormat="1" ht="149.25" customHeight="1" spans="1:6">
      <c r="A6" s="81" t="s">
        <v>178</v>
      </c>
      <c r="B6" s="82" t="s">
        <v>179</v>
      </c>
      <c r="C6" s="83">
        <v>35900</v>
      </c>
      <c r="D6" s="83">
        <v>17447.07</v>
      </c>
      <c r="E6" s="85">
        <f t="shared" si="1"/>
        <v>18452.93</v>
      </c>
      <c r="F6" s="86">
        <f t="shared" si="0"/>
        <v>48.5990807799443</v>
      </c>
    </row>
    <row r="7" s="59" customFormat="1" ht="149.25" customHeight="1" spans="1:6">
      <c r="A7" s="81" t="s">
        <v>180</v>
      </c>
      <c r="B7" s="82" t="s">
        <v>181</v>
      </c>
      <c r="C7" s="83">
        <v>4000000</v>
      </c>
      <c r="D7" s="87">
        <v>3550306</v>
      </c>
      <c r="E7" s="85">
        <f t="shared" si="1"/>
        <v>449694</v>
      </c>
      <c r="F7" s="86">
        <f t="shared" si="0"/>
        <v>88.75765</v>
      </c>
    </row>
    <row r="8" s="59" customFormat="1" ht="149.25" customHeight="1" spans="1:6">
      <c r="A8" s="81" t="s">
        <v>182</v>
      </c>
      <c r="B8" s="82" t="s">
        <v>183</v>
      </c>
      <c r="C8" s="83">
        <v>0</v>
      </c>
      <c r="D8" s="84">
        <v>-344278.45</v>
      </c>
      <c r="E8" s="85">
        <v>0</v>
      </c>
      <c r="F8" s="88" t="e">
        <f t="shared" si="0"/>
        <v>#DIV/0!</v>
      </c>
    </row>
    <row r="9" s="59" customFormat="1" ht="38.25" customHeight="1" spans="1:6">
      <c r="A9" s="81" t="s">
        <v>71</v>
      </c>
      <c r="B9" s="82" t="s">
        <v>72</v>
      </c>
      <c r="C9" s="83">
        <v>14040000</v>
      </c>
      <c r="D9" s="84">
        <v>10004213.36</v>
      </c>
      <c r="E9" s="85">
        <f>C9-D9</f>
        <v>4035786.64</v>
      </c>
      <c r="F9" s="86">
        <f t="shared" si="0"/>
        <v>71.2550809116809</v>
      </c>
    </row>
    <row r="10" s="59" customFormat="1" ht="108" customHeight="1" spans="1:6">
      <c r="A10" s="81" t="s">
        <v>184</v>
      </c>
      <c r="B10" s="82" t="s">
        <v>185</v>
      </c>
      <c r="C10" s="83">
        <v>0</v>
      </c>
      <c r="D10" s="84">
        <v>154237.95</v>
      </c>
      <c r="E10" s="85"/>
      <c r="F10" s="88" t="e">
        <f t="shared" si="0"/>
        <v>#DIV/0!</v>
      </c>
    </row>
    <row r="11" s="59" customFormat="1" ht="33" customHeight="1" spans="1:6">
      <c r="A11" s="81" t="s">
        <v>186</v>
      </c>
      <c r="B11" s="82" t="s">
        <v>187</v>
      </c>
      <c r="C11" s="83">
        <v>0</v>
      </c>
      <c r="D11" s="84">
        <v>498728.46</v>
      </c>
      <c r="E11" s="85"/>
      <c r="F11" s="88" t="e">
        <f t="shared" si="0"/>
        <v>#DIV/0!</v>
      </c>
    </row>
    <row r="12" s="59" customFormat="1" ht="88.5" customHeight="1" spans="1:6">
      <c r="A12" s="89" t="s">
        <v>188</v>
      </c>
      <c r="B12" s="90" t="s">
        <v>189</v>
      </c>
      <c r="C12" s="91">
        <v>0</v>
      </c>
      <c r="D12" s="92">
        <v>209882</v>
      </c>
      <c r="E12" s="93"/>
      <c r="F12" s="94" t="e">
        <f t="shared" si="0"/>
        <v>#DIV/0!</v>
      </c>
    </row>
    <row r="13" s="59" customFormat="1" ht="96" customHeight="1" spans="1:6">
      <c r="A13" s="95" t="s">
        <v>220</v>
      </c>
      <c r="B13" s="96" t="s">
        <v>221</v>
      </c>
      <c r="C13" s="97"/>
      <c r="D13" s="98">
        <v>125982.08</v>
      </c>
      <c r="E13" s="98"/>
      <c r="F13" s="86"/>
    </row>
    <row r="14" s="59" customFormat="1" ht="25.5" customHeight="1" spans="1:6">
      <c r="A14" s="99" t="s">
        <v>190</v>
      </c>
      <c r="B14" s="100" t="s">
        <v>74</v>
      </c>
      <c r="C14" s="101">
        <v>3500000</v>
      </c>
      <c r="D14" s="102">
        <v>2993214.5</v>
      </c>
      <c r="E14" s="85">
        <f>C14-D14</f>
        <v>506785.5</v>
      </c>
      <c r="F14" s="103">
        <f>D14/C14*100</f>
        <v>85.5204142857143</v>
      </c>
    </row>
    <row r="15" s="59" customFormat="1" ht="19.5" customHeight="1" spans="1:6">
      <c r="A15" s="95" t="s">
        <v>75</v>
      </c>
      <c r="B15" s="96" t="s">
        <v>76</v>
      </c>
      <c r="C15" s="97">
        <v>4050000</v>
      </c>
      <c r="D15" s="98">
        <v>708395.25</v>
      </c>
      <c r="E15" s="85">
        <f>C15-D15</f>
        <v>3341604.75</v>
      </c>
      <c r="F15" s="86">
        <f>D15/C15*100</f>
        <v>17.4912407407407</v>
      </c>
    </row>
    <row r="16" s="59" customFormat="1" ht="13.5" customHeight="1" spans="1:6">
      <c r="A16" s="104" t="s">
        <v>77</v>
      </c>
      <c r="B16" s="96" t="s">
        <v>191</v>
      </c>
      <c r="C16" s="105">
        <f>SUM(C18:C19)</f>
        <v>9710000</v>
      </c>
      <c r="D16" s="106">
        <f>SUM(D18:D19)</f>
        <v>3398551.23</v>
      </c>
      <c r="E16" s="106">
        <f>SUM(E18:E19)</f>
        <v>6311448.77</v>
      </c>
      <c r="F16" s="86">
        <f>D16/C16*100</f>
        <v>35.0005276004119</v>
      </c>
    </row>
    <row r="17" s="59" customFormat="1" ht="13.5" hidden="1" customHeight="1" spans="1:6">
      <c r="A17" s="107"/>
      <c r="B17" s="82" t="s">
        <v>79</v>
      </c>
      <c r="C17" s="108"/>
      <c r="D17" s="109"/>
      <c r="E17" s="109"/>
      <c r="F17" s="110"/>
    </row>
    <row r="18" s="59" customFormat="1" ht="47.25" customHeight="1" spans="1:6">
      <c r="A18" s="81" t="s">
        <v>157</v>
      </c>
      <c r="B18" s="111" t="s">
        <v>158</v>
      </c>
      <c r="C18" s="112">
        <v>3400000</v>
      </c>
      <c r="D18" s="113">
        <v>2640982.38</v>
      </c>
      <c r="E18" s="85">
        <f t="shared" ref="E18:E21" si="2">C18-D18</f>
        <v>759017.62</v>
      </c>
      <c r="F18" s="86">
        <f t="shared" ref="F18:F21" si="3">D18/C18*100</f>
        <v>77.6759523529412</v>
      </c>
    </row>
    <row r="19" s="59" customFormat="1" ht="45.75" spans="1:6">
      <c r="A19" s="81" t="s">
        <v>159</v>
      </c>
      <c r="B19" s="111" t="s">
        <v>160</v>
      </c>
      <c r="C19" s="112">
        <v>6310000</v>
      </c>
      <c r="D19" s="113">
        <v>757568.85</v>
      </c>
      <c r="E19" s="85">
        <f t="shared" si="2"/>
        <v>5552431.15</v>
      </c>
      <c r="F19" s="86">
        <f t="shared" si="3"/>
        <v>12.0058454833597</v>
      </c>
    </row>
    <row r="20" ht="23.25" spans="1:6">
      <c r="A20" s="114" t="s">
        <v>147</v>
      </c>
      <c r="B20" s="115" t="s">
        <v>85</v>
      </c>
      <c r="C20" s="116">
        <v>0</v>
      </c>
      <c r="D20" s="117">
        <v>-3115.33</v>
      </c>
      <c r="E20" s="85"/>
      <c r="F20" s="86"/>
    </row>
    <row r="21" ht="21.75" hidden="1" spans="1:6">
      <c r="A21" s="118" t="s">
        <v>86</v>
      </c>
      <c r="B21" s="119" t="s">
        <v>87</v>
      </c>
      <c r="C21" s="120">
        <f>SUM(C23:C25)</f>
        <v>0</v>
      </c>
      <c r="D21" s="121">
        <v>0</v>
      </c>
      <c r="E21" s="85">
        <f t="shared" si="2"/>
        <v>0</v>
      </c>
      <c r="F21" s="86" t="e">
        <f t="shared" si="3"/>
        <v>#DIV/0!</v>
      </c>
    </row>
    <row r="22" ht="15.75" hidden="1" customHeight="1" spans="1:6">
      <c r="A22" s="114"/>
      <c r="B22" s="122" t="s">
        <v>79</v>
      </c>
      <c r="C22" s="123"/>
      <c r="D22" s="124"/>
      <c r="E22" s="85"/>
      <c r="F22" s="86"/>
    </row>
    <row r="23" ht="38.25" hidden="1" customHeight="1" spans="1:6">
      <c r="A23" s="114" t="s">
        <v>88</v>
      </c>
      <c r="B23" s="115" t="s">
        <v>89</v>
      </c>
      <c r="C23" s="116">
        <v>0</v>
      </c>
      <c r="D23" s="125">
        <v>0</v>
      </c>
      <c r="E23" s="85">
        <f t="shared" ref="E23:E27" si="4">C23-D23</f>
        <v>0</v>
      </c>
      <c r="F23" s="86" t="e">
        <f t="shared" ref="F23:F27" si="5">D23/C23*100</f>
        <v>#DIV/0!</v>
      </c>
    </row>
    <row r="24" ht="48" hidden="1" customHeight="1" spans="1:6">
      <c r="A24" s="114" t="s">
        <v>90</v>
      </c>
      <c r="B24" s="115" t="s">
        <v>91</v>
      </c>
      <c r="C24" s="116">
        <v>0</v>
      </c>
      <c r="D24" s="126">
        <v>0</v>
      </c>
      <c r="E24" s="85">
        <f t="shared" si="4"/>
        <v>0</v>
      </c>
      <c r="F24" s="86" t="e">
        <f t="shared" si="5"/>
        <v>#DIV/0!</v>
      </c>
    </row>
    <row r="25" ht="43.5" hidden="1" customHeight="1" spans="1:6">
      <c r="A25" s="114" t="s">
        <v>92</v>
      </c>
      <c r="B25" s="115" t="s">
        <v>93</v>
      </c>
      <c r="C25" s="116">
        <v>0</v>
      </c>
      <c r="D25" s="113">
        <v>0</v>
      </c>
      <c r="E25" s="85">
        <f t="shared" si="4"/>
        <v>0</v>
      </c>
      <c r="F25" s="86" t="e">
        <f t="shared" si="5"/>
        <v>#DIV/0!</v>
      </c>
    </row>
    <row r="26" customFormat="1" ht="80" customHeight="1" spans="1:6">
      <c r="A26" s="114" t="s">
        <v>213</v>
      </c>
      <c r="B26" s="115" t="s">
        <v>214</v>
      </c>
      <c r="C26" s="116">
        <v>184240</v>
      </c>
      <c r="D26" s="113">
        <v>0</v>
      </c>
      <c r="E26" s="85">
        <f t="shared" si="4"/>
        <v>184240</v>
      </c>
      <c r="F26" s="86">
        <f t="shared" si="5"/>
        <v>0</v>
      </c>
    </row>
    <row r="27" s="59" customFormat="1" ht="36" customHeight="1" spans="1:6">
      <c r="A27" s="81" t="s">
        <v>94</v>
      </c>
      <c r="B27" s="82" t="s">
        <v>95</v>
      </c>
      <c r="C27" s="83">
        <v>76416</v>
      </c>
      <c r="D27" s="84">
        <v>57312</v>
      </c>
      <c r="E27" s="85">
        <f t="shared" si="4"/>
        <v>19104</v>
      </c>
      <c r="F27" s="86">
        <f t="shared" si="5"/>
        <v>75</v>
      </c>
    </row>
    <row r="28" s="59" customFormat="1" ht="85.5" customHeight="1" spans="1:6">
      <c r="A28" s="81" t="s">
        <v>215</v>
      </c>
      <c r="B28" s="82" t="s">
        <v>194</v>
      </c>
      <c r="C28" s="83">
        <v>293822</v>
      </c>
      <c r="D28" s="84">
        <v>308528.95</v>
      </c>
      <c r="E28" s="85"/>
      <c r="F28" s="86"/>
    </row>
    <row r="29" s="59" customFormat="1" ht="85" hidden="1" customHeight="1" spans="1:6">
      <c r="A29" s="81" t="s">
        <v>173</v>
      </c>
      <c r="B29" s="82" t="s">
        <v>216</v>
      </c>
      <c r="C29" s="83"/>
      <c r="D29" s="84"/>
      <c r="E29" s="85">
        <f t="shared" ref="E29:E35" si="6">C29-D29</f>
        <v>0</v>
      </c>
      <c r="F29" s="86" t="e">
        <f t="shared" ref="F29:F33" si="7">D29/C29*100</f>
        <v>#DIV/0!</v>
      </c>
    </row>
    <row r="30" s="59" customFormat="1" ht="83.25" customHeight="1" spans="1:6">
      <c r="A30" s="81" t="s">
        <v>195</v>
      </c>
      <c r="B30" s="82" t="s">
        <v>196</v>
      </c>
      <c r="C30" s="83">
        <v>12500</v>
      </c>
      <c r="D30" s="84">
        <v>3000</v>
      </c>
      <c r="E30" s="85">
        <f t="shared" si="6"/>
        <v>9500</v>
      </c>
      <c r="F30" s="86">
        <f t="shared" si="7"/>
        <v>24</v>
      </c>
    </row>
    <row r="31" ht="55.5" hidden="1" customHeight="1" spans="1:6">
      <c r="A31" s="114" t="s">
        <v>98</v>
      </c>
      <c r="B31" s="127" t="s">
        <v>99</v>
      </c>
      <c r="C31" s="128" t="s">
        <v>192</v>
      </c>
      <c r="D31" s="129" t="s">
        <v>192</v>
      </c>
      <c r="E31" s="130" t="s">
        <v>192</v>
      </c>
      <c r="F31" s="86"/>
    </row>
    <row r="32" ht="24.75" hidden="1" customHeight="1" spans="1:6">
      <c r="A32" s="114" t="s">
        <v>100</v>
      </c>
      <c r="B32" s="127" t="s">
        <v>101</v>
      </c>
      <c r="C32" s="128">
        <v>0</v>
      </c>
      <c r="D32" s="129">
        <v>0</v>
      </c>
      <c r="E32" s="130">
        <f t="shared" si="6"/>
        <v>0</v>
      </c>
      <c r="F32" s="86"/>
    </row>
    <row r="33" ht="28.5" hidden="1" customHeight="1" spans="1:6">
      <c r="A33" s="114" t="s">
        <v>148</v>
      </c>
      <c r="B33" s="127" t="s">
        <v>149</v>
      </c>
      <c r="C33" s="128"/>
      <c r="D33" s="129"/>
      <c r="E33" s="130">
        <f t="shared" si="6"/>
        <v>0</v>
      </c>
      <c r="F33" s="86" t="e">
        <f t="shared" si="7"/>
        <v>#DIV/0!</v>
      </c>
    </row>
    <row r="34" ht="33.75" hidden="1" customHeight="1" spans="1:6">
      <c r="A34" s="114" t="s">
        <v>103</v>
      </c>
      <c r="B34" s="127" t="s">
        <v>104</v>
      </c>
      <c r="C34" s="128">
        <v>0</v>
      </c>
      <c r="D34" s="129">
        <v>0</v>
      </c>
      <c r="E34" s="130">
        <f t="shared" si="6"/>
        <v>0</v>
      </c>
      <c r="F34" s="131"/>
    </row>
    <row r="35" ht="37.5" hidden="1" customHeight="1" spans="1:6">
      <c r="A35" s="114" t="s">
        <v>105</v>
      </c>
      <c r="B35" s="127" t="s">
        <v>106</v>
      </c>
      <c r="C35" s="128">
        <v>0</v>
      </c>
      <c r="D35" s="129">
        <v>0</v>
      </c>
      <c r="E35" s="130">
        <f t="shared" si="6"/>
        <v>0</v>
      </c>
      <c r="F35" s="131"/>
    </row>
    <row r="36" ht="15.75" customHeight="1" spans="1:6">
      <c r="A36" s="132" t="s">
        <v>109</v>
      </c>
      <c r="B36" s="133"/>
      <c r="C36" s="134">
        <f>C9+C5+C6+C7+C8+C10+C11+C14+C15+C16+C27+C28+C30+C29+C26+C33</f>
        <v>39512878</v>
      </c>
      <c r="D36" s="134">
        <f>D9+D5+D6+D7+D8+D10+D11+D14+D15+D16+D27+D28+D30+D12+D33+D29+D26+D20+D13</f>
        <v>24766494.1</v>
      </c>
      <c r="E36" s="134">
        <f>E5+E6+E7+E9+E15+E16+E27+E30+E33+E8+E10+E11+E12+E14+E20+E28+E26</f>
        <v>15402527.56</v>
      </c>
      <c r="F36" s="131">
        <f t="shared" ref="F36:F46" si="8">D36/C36*100</f>
        <v>62.6795499431856</v>
      </c>
    </row>
    <row r="37" s="60" customFormat="1" ht="16.5" spans="1:6">
      <c r="A37" s="135" t="s">
        <v>197</v>
      </c>
      <c r="B37" s="10" t="s">
        <v>198</v>
      </c>
      <c r="C37" s="136">
        <f>C38+C42+C43+C44+C40+C45+C41+C46+C47+C39</f>
        <v>55328720</v>
      </c>
      <c r="D37" s="136">
        <f>D38+D42+D43+D44+D40+D45+D41+D46+D47+D39</f>
        <v>24931656.02</v>
      </c>
      <c r="E37" s="136">
        <f>E38+E42+E43+E44+E40+E45+E41+E46+E39</f>
        <v>30397063.98</v>
      </c>
      <c r="F37" s="137">
        <f t="shared" si="8"/>
        <v>45.0609665649232</v>
      </c>
    </row>
    <row r="38" s="61" customFormat="1" ht="34.5" spans="1:6">
      <c r="A38" s="138" t="s">
        <v>199</v>
      </c>
      <c r="B38" s="111" t="s">
        <v>200</v>
      </c>
      <c r="C38" s="139">
        <v>7045300</v>
      </c>
      <c r="D38" s="112">
        <v>7045300</v>
      </c>
      <c r="E38" s="140">
        <f t="shared" ref="E38:E47" si="9">C38-D38</f>
        <v>0</v>
      </c>
      <c r="F38" s="141">
        <f t="shared" si="8"/>
        <v>100</v>
      </c>
    </row>
    <row r="39" s="61" customFormat="1" ht="34.5" spans="1:6">
      <c r="A39" s="138" t="s">
        <v>218</v>
      </c>
      <c r="B39" s="111" t="s">
        <v>219</v>
      </c>
      <c r="C39" s="139">
        <v>913900</v>
      </c>
      <c r="D39" s="112">
        <v>609100</v>
      </c>
      <c r="E39" s="140">
        <f t="shared" si="9"/>
        <v>304800</v>
      </c>
      <c r="F39" s="141">
        <f t="shared" si="8"/>
        <v>66.6484298063245</v>
      </c>
    </row>
    <row r="40" s="61" customFormat="1" ht="23.25" spans="1:6">
      <c r="A40" s="138" t="s">
        <v>207</v>
      </c>
      <c r="B40" s="111" t="s">
        <v>208</v>
      </c>
      <c r="C40" s="139">
        <v>212500</v>
      </c>
      <c r="D40" s="112">
        <v>212500</v>
      </c>
      <c r="E40" s="140">
        <f t="shared" si="9"/>
        <v>0</v>
      </c>
      <c r="F40" s="141">
        <f t="shared" si="8"/>
        <v>100</v>
      </c>
    </row>
    <row r="41" s="61" customFormat="1" ht="34.5" hidden="1" spans="1:6">
      <c r="A41" s="138" t="s">
        <v>209</v>
      </c>
      <c r="B41" s="111" t="s">
        <v>210</v>
      </c>
      <c r="C41" s="139"/>
      <c r="D41" s="112"/>
      <c r="E41" s="140">
        <f t="shared" si="9"/>
        <v>0</v>
      </c>
      <c r="F41" s="141" t="e">
        <f t="shared" si="8"/>
        <v>#DIV/0!</v>
      </c>
    </row>
    <row r="42" s="61" customFormat="1" ht="28.5" customHeight="1" spans="1:6">
      <c r="A42" s="142" t="s">
        <v>201</v>
      </c>
      <c r="B42" s="143" t="s">
        <v>164</v>
      </c>
      <c r="C42" s="144">
        <v>24915300</v>
      </c>
      <c r="D42" s="112">
        <v>12100789.33</v>
      </c>
      <c r="E42" s="140">
        <f t="shared" si="9"/>
        <v>12814510.67</v>
      </c>
      <c r="F42" s="141">
        <f t="shared" si="8"/>
        <v>48.5677047035356</v>
      </c>
    </row>
    <row r="43" s="61" customFormat="1" ht="30.75" customHeight="1" spans="1:6">
      <c r="A43" s="145" t="s">
        <v>202</v>
      </c>
      <c r="B43" s="146" t="s">
        <v>166</v>
      </c>
      <c r="C43" s="147">
        <v>7600</v>
      </c>
      <c r="D43" s="112">
        <v>3800</v>
      </c>
      <c r="E43" s="140">
        <f t="shared" si="9"/>
        <v>3800</v>
      </c>
      <c r="F43" s="148">
        <f t="shared" si="8"/>
        <v>50</v>
      </c>
    </row>
    <row r="44" s="61" customFormat="1" ht="30.75" customHeight="1" spans="1:6">
      <c r="A44" s="145" t="s">
        <v>203</v>
      </c>
      <c r="B44" s="146" t="s">
        <v>168</v>
      </c>
      <c r="C44" s="147">
        <v>519800</v>
      </c>
      <c r="D44" s="112">
        <v>360166.69</v>
      </c>
      <c r="E44" s="140">
        <f t="shared" si="9"/>
        <v>159633.31</v>
      </c>
      <c r="F44" s="148">
        <f t="shared" si="8"/>
        <v>69.2894747979992</v>
      </c>
    </row>
    <row r="45" s="61" customFormat="1" ht="33.75" customHeight="1" spans="1:6">
      <c r="A45" s="145" t="s">
        <v>211</v>
      </c>
      <c r="B45" s="146" t="s">
        <v>170</v>
      </c>
      <c r="C45" s="149">
        <v>13750000</v>
      </c>
      <c r="D45" s="112">
        <v>4600000</v>
      </c>
      <c r="E45" s="140">
        <f t="shared" si="9"/>
        <v>9150000</v>
      </c>
      <c r="F45" s="148">
        <f t="shared" si="8"/>
        <v>33.4545454545455</v>
      </c>
    </row>
    <row r="46" s="59" customFormat="1" ht="16.5" spans="1:6">
      <c r="A46" s="81" t="s">
        <v>204</v>
      </c>
      <c r="B46" s="111" t="s">
        <v>172</v>
      </c>
      <c r="C46" s="112">
        <v>7964320</v>
      </c>
      <c r="D46" s="112">
        <v>0</v>
      </c>
      <c r="E46" s="140">
        <f t="shared" si="9"/>
        <v>7964320</v>
      </c>
      <c r="F46" s="148">
        <f t="shared" si="8"/>
        <v>0</v>
      </c>
    </row>
    <row r="47" s="62" customFormat="1" ht="47.25" hidden="1" customHeight="1" spans="1:6">
      <c r="A47" s="150" t="s">
        <v>204</v>
      </c>
      <c r="B47" s="151" t="s">
        <v>217</v>
      </c>
      <c r="C47" s="152"/>
      <c r="D47" s="152"/>
      <c r="E47" s="153">
        <f t="shared" si="9"/>
        <v>0</v>
      </c>
      <c r="F47" s="154"/>
    </row>
    <row r="48" ht="16.5" spans="1:6">
      <c r="A48" s="132" t="s">
        <v>112</v>
      </c>
      <c r="B48" s="133"/>
      <c r="C48" s="134">
        <f>C37</f>
        <v>55328720</v>
      </c>
      <c r="D48" s="134">
        <f>D37</f>
        <v>24931656.02</v>
      </c>
      <c r="E48" s="134">
        <f>E37</f>
        <v>30397063.98</v>
      </c>
      <c r="F48" s="131">
        <f>D48/C48*100</f>
        <v>45.0609665649232</v>
      </c>
    </row>
    <row r="49" ht="28.5" customHeight="1" spans="1:6">
      <c r="A49" s="132" t="s">
        <v>113</v>
      </c>
      <c r="B49" s="133"/>
      <c r="C49" s="134">
        <f>C36+C48</f>
        <v>94841598</v>
      </c>
      <c r="D49" s="134">
        <f>D36+D48</f>
        <v>49698150.12</v>
      </c>
      <c r="E49" s="134">
        <f>E36+E48</f>
        <v>45799591.54</v>
      </c>
      <c r="F49" s="131">
        <f>D49/C49*100</f>
        <v>52.4012154666563</v>
      </c>
    </row>
  </sheetData>
  <mergeCells count="10">
    <mergeCell ref="A36:B36"/>
    <mergeCell ref="A48:B48"/>
    <mergeCell ref="A49:B49"/>
    <mergeCell ref="A1:A2"/>
    <mergeCell ref="A21:A22"/>
    <mergeCell ref="B1:B2"/>
    <mergeCell ref="C1:C2"/>
    <mergeCell ref="C21:C22"/>
    <mergeCell ref="D1:D2"/>
    <mergeCell ref="D21:D22"/>
  </mergeCells>
  <pageMargins left="0.75" right="0.75" top="1" bottom="1" header="0.5" footer="0.5"/>
  <pageSetup paperSize="9" scale="5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1"/>
  <sheetViews>
    <sheetView topLeftCell="A5" workbookViewId="0">
      <selection activeCell="D34" sqref="D34"/>
    </sheetView>
  </sheetViews>
  <sheetFormatPr defaultColWidth="9" defaultRowHeight="15"/>
  <cols>
    <col min="1" max="1" width="10.5714285714286" customWidth="1"/>
    <col min="2" max="2" width="36" style="2" customWidth="1"/>
    <col min="3" max="3" width="19.7142857142857" style="3" customWidth="1"/>
    <col min="4" max="4" width="20.4285714285714" style="3" customWidth="1"/>
    <col min="5" max="5" width="17.5714285714286" style="3" customWidth="1"/>
    <col min="6" max="6" width="10.1428571428571" style="3" customWidth="1"/>
    <col min="7" max="7" width="5.71428571428571" customWidth="1"/>
  </cols>
  <sheetData>
    <row r="1" customFormat="1" ht="64.5" spans="1:6">
      <c r="A1" s="4" t="s">
        <v>115</v>
      </c>
      <c r="B1" s="5" t="s">
        <v>116</v>
      </c>
      <c r="C1" s="6" t="s">
        <v>66</v>
      </c>
      <c r="D1" s="6" t="s">
        <v>67</v>
      </c>
      <c r="E1" s="7" t="s">
        <v>117</v>
      </c>
      <c r="F1" s="8" t="s">
        <v>118</v>
      </c>
    </row>
    <row r="2" customFormat="1" ht="16.5" spans="1:6">
      <c r="A2" s="9">
        <v>100</v>
      </c>
      <c r="B2" s="10" t="s">
        <v>119</v>
      </c>
      <c r="C2" s="11">
        <f>SUM(C3:C8)</f>
        <v>26224586</v>
      </c>
      <c r="D2" s="11">
        <f>SUM(D3:D8)</f>
        <v>15982040.47</v>
      </c>
      <c r="E2" s="12">
        <f t="shared" ref="E2:E34" si="0">C2-D2</f>
        <v>10242545.53</v>
      </c>
      <c r="F2" s="13">
        <f t="shared" ref="F2:F34" si="1">D2/C2*100</f>
        <v>60.9429657726532</v>
      </c>
    </row>
    <row r="3" customFormat="1" ht="23.25" spans="1:6">
      <c r="A3" s="14">
        <v>102</v>
      </c>
      <c r="B3" s="15" t="s">
        <v>120</v>
      </c>
      <c r="C3" s="16">
        <v>1595400</v>
      </c>
      <c r="D3" s="16">
        <v>888361.56</v>
      </c>
      <c r="E3" s="17">
        <f t="shared" si="0"/>
        <v>707038.44</v>
      </c>
      <c r="F3" s="13">
        <f t="shared" si="1"/>
        <v>55.6826852200075</v>
      </c>
    </row>
    <row r="4" customFormat="1" ht="45.75" spans="1:6">
      <c r="A4" s="14">
        <v>104</v>
      </c>
      <c r="B4" s="18" t="s">
        <v>10</v>
      </c>
      <c r="C4" s="16">
        <v>8315200</v>
      </c>
      <c r="D4" s="16">
        <v>5164483.55</v>
      </c>
      <c r="E4" s="17">
        <f t="shared" si="0"/>
        <v>3150716.45</v>
      </c>
      <c r="F4" s="13">
        <f t="shared" si="1"/>
        <v>62.1089516788532</v>
      </c>
    </row>
    <row r="5" customFormat="1" ht="38.25" customHeight="1" spans="1:6">
      <c r="A5" s="19">
        <v>106</v>
      </c>
      <c r="B5" s="20" t="s">
        <v>152</v>
      </c>
      <c r="C5" s="16">
        <v>357900</v>
      </c>
      <c r="D5" s="16">
        <v>357900</v>
      </c>
      <c r="E5" s="17">
        <f t="shared" si="0"/>
        <v>0</v>
      </c>
      <c r="F5" s="13">
        <f t="shared" si="1"/>
        <v>100</v>
      </c>
    </row>
    <row r="6" customFormat="1" ht="25.5" hidden="1" customHeight="1" spans="1:6">
      <c r="A6" s="14">
        <v>107</v>
      </c>
      <c r="B6" s="21" t="s">
        <v>153</v>
      </c>
      <c r="C6" s="16"/>
      <c r="D6" s="16">
        <v>0</v>
      </c>
      <c r="E6" s="17">
        <f t="shared" si="0"/>
        <v>0</v>
      </c>
      <c r="F6" s="13"/>
    </row>
    <row r="7" customFormat="1" ht="16.5" spans="1:6">
      <c r="A7" s="19">
        <v>111</v>
      </c>
      <c r="B7" s="22" t="s">
        <v>12</v>
      </c>
      <c r="C7" s="16">
        <v>50000</v>
      </c>
      <c r="D7" s="16">
        <v>0</v>
      </c>
      <c r="E7" s="17">
        <f t="shared" si="0"/>
        <v>50000</v>
      </c>
      <c r="F7" s="13">
        <f t="shared" si="1"/>
        <v>0</v>
      </c>
    </row>
    <row r="8" customFormat="1" ht="16.5" spans="1:6">
      <c r="A8" s="14">
        <v>113</v>
      </c>
      <c r="B8" s="15" t="s">
        <v>121</v>
      </c>
      <c r="C8" s="16">
        <v>15906086</v>
      </c>
      <c r="D8" s="23">
        <v>9571295.36</v>
      </c>
      <c r="E8" s="17">
        <f t="shared" si="0"/>
        <v>6334790.64</v>
      </c>
      <c r="F8" s="13">
        <f t="shared" si="1"/>
        <v>60.1737936032786</v>
      </c>
    </row>
    <row r="9" customFormat="1" ht="16.5" spans="1:6">
      <c r="A9" s="9">
        <v>200</v>
      </c>
      <c r="B9" s="10" t="s">
        <v>122</v>
      </c>
      <c r="C9" s="11">
        <f>C10</f>
        <v>519800</v>
      </c>
      <c r="D9" s="11">
        <f>D10</f>
        <v>360166.69</v>
      </c>
      <c r="E9" s="12">
        <f t="shared" si="0"/>
        <v>159633.31</v>
      </c>
      <c r="F9" s="13">
        <f t="shared" si="1"/>
        <v>69.2894747979992</v>
      </c>
    </row>
    <row r="10" customFormat="1" ht="16.5" spans="1:6">
      <c r="A10" s="14">
        <v>203</v>
      </c>
      <c r="B10" s="15" t="s">
        <v>123</v>
      </c>
      <c r="C10" s="16">
        <v>519800</v>
      </c>
      <c r="D10" s="16">
        <v>360166.69</v>
      </c>
      <c r="E10" s="24">
        <f t="shared" si="0"/>
        <v>159633.31</v>
      </c>
      <c r="F10" s="13">
        <f t="shared" si="1"/>
        <v>69.2894747979992</v>
      </c>
    </row>
    <row r="11" customFormat="1" ht="21.75" spans="1:6">
      <c r="A11" s="9">
        <v>300</v>
      </c>
      <c r="B11" s="10" t="s">
        <v>124</v>
      </c>
      <c r="C11" s="11">
        <f>SUM(C12:C13)</f>
        <v>245000</v>
      </c>
      <c r="D11" s="11">
        <f>SUM(D12:D13)</f>
        <v>5850</v>
      </c>
      <c r="E11" s="12">
        <f t="shared" si="0"/>
        <v>239150</v>
      </c>
      <c r="F11" s="13">
        <f t="shared" si="1"/>
        <v>2.38775510204082</v>
      </c>
    </row>
    <row r="12" customFormat="1" ht="34.5" spans="1:6">
      <c r="A12" s="14">
        <v>309</v>
      </c>
      <c r="B12" s="25" t="s">
        <v>125</v>
      </c>
      <c r="C12" s="26">
        <v>140000</v>
      </c>
      <c r="D12" s="16">
        <v>0</v>
      </c>
      <c r="E12" s="24">
        <f t="shared" si="0"/>
        <v>140000</v>
      </c>
      <c r="F12" s="13">
        <f t="shared" si="1"/>
        <v>0</v>
      </c>
    </row>
    <row r="13" customFormat="1" ht="23.25" spans="1:6">
      <c r="A13" s="14">
        <v>310</v>
      </c>
      <c r="B13" s="27" t="s">
        <v>126</v>
      </c>
      <c r="C13" s="16">
        <v>105000</v>
      </c>
      <c r="D13" s="16">
        <v>5850</v>
      </c>
      <c r="E13" s="24">
        <f t="shared" si="0"/>
        <v>99150</v>
      </c>
      <c r="F13" s="13">
        <f t="shared" si="1"/>
        <v>5.57142857142857</v>
      </c>
    </row>
    <row r="14" customFormat="1" ht="16.5" spans="1:6">
      <c r="A14" s="9">
        <v>400</v>
      </c>
      <c r="B14" s="28" t="s">
        <v>127</v>
      </c>
      <c r="C14" s="11">
        <f>SUM(C15:C17)</f>
        <v>8285212.89</v>
      </c>
      <c r="D14" s="11">
        <f>SUM(D16:D17)</f>
        <v>6245635.79</v>
      </c>
      <c r="E14" s="12">
        <f t="shared" si="0"/>
        <v>2039577.1</v>
      </c>
      <c r="F14" s="13">
        <f t="shared" si="1"/>
        <v>75.3829246504733</v>
      </c>
    </row>
    <row r="15" customFormat="1" ht="23.25" spans="1:6">
      <c r="A15" s="14">
        <v>401</v>
      </c>
      <c r="B15" s="15" t="s">
        <v>205</v>
      </c>
      <c r="C15" s="16">
        <v>0</v>
      </c>
      <c r="D15" s="29"/>
      <c r="E15" s="24">
        <f t="shared" si="0"/>
        <v>0</v>
      </c>
      <c r="F15" s="13" t="e">
        <f t="shared" si="1"/>
        <v>#DIV/0!</v>
      </c>
    </row>
    <row r="16" customFormat="1" ht="16.5" spans="1:6">
      <c r="A16" s="14">
        <v>409</v>
      </c>
      <c r="B16" s="15" t="s">
        <v>27</v>
      </c>
      <c r="C16" s="16">
        <v>8185212.89</v>
      </c>
      <c r="D16" s="16">
        <v>6245635.79</v>
      </c>
      <c r="E16" s="24">
        <f t="shared" si="0"/>
        <v>1939577.1</v>
      </c>
      <c r="F16" s="13">
        <f t="shared" si="1"/>
        <v>76.3038893909576</v>
      </c>
    </row>
    <row r="17" customFormat="1" ht="23.25" spans="1:6">
      <c r="A17" s="14">
        <v>412</v>
      </c>
      <c r="B17" s="15" t="s">
        <v>128</v>
      </c>
      <c r="C17" s="16">
        <v>100000</v>
      </c>
      <c r="D17" s="16">
        <v>0</v>
      </c>
      <c r="E17" s="24">
        <f t="shared" si="0"/>
        <v>100000</v>
      </c>
      <c r="F17" s="13">
        <f t="shared" si="1"/>
        <v>0</v>
      </c>
    </row>
    <row r="18" customFormat="1" ht="16.5" spans="1:6">
      <c r="A18" s="9">
        <v>500</v>
      </c>
      <c r="B18" s="10" t="s">
        <v>129</v>
      </c>
      <c r="C18" s="11">
        <f>SUM(C19:C20)</f>
        <v>36001379</v>
      </c>
      <c r="D18" s="11">
        <f>SUM(D19:D20)</f>
        <v>20314602.07</v>
      </c>
      <c r="E18" s="12">
        <f t="shared" si="0"/>
        <v>15686776.93</v>
      </c>
      <c r="F18" s="13">
        <f t="shared" si="1"/>
        <v>56.4272887158017</v>
      </c>
    </row>
    <row r="19" customFormat="1" ht="16.5" spans="1:6">
      <c r="A19" s="14">
        <v>502</v>
      </c>
      <c r="B19" s="15" t="s">
        <v>31</v>
      </c>
      <c r="C19" s="16">
        <v>31408379</v>
      </c>
      <c r="D19" s="16">
        <v>16679449.25</v>
      </c>
      <c r="E19" s="24">
        <f t="shared" si="0"/>
        <v>14728929.75</v>
      </c>
      <c r="F19" s="13">
        <f t="shared" si="1"/>
        <v>53.1050941852173</v>
      </c>
    </row>
    <row r="20" customFormat="1" ht="16.5" spans="1:6">
      <c r="A20" s="14">
        <v>503</v>
      </c>
      <c r="B20" s="15" t="s">
        <v>33</v>
      </c>
      <c r="C20" s="16">
        <v>4593000</v>
      </c>
      <c r="D20" s="16">
        <v>3635152.82</v>
      </c>
      <c r="E20" s="24">
        <f t="shared" si="0"/>
        <v>957847.18</v>
      </c>
      <c r="F20" s="13">
        <f t="shared" si="1"/>
        <v>79.1455001088613</v>
      </c>
    </row>
    <row r="21" customFormat="1" ht="16.5" spans="1:6">
      <c r="A21" s="9">
        <v>700</v>
      </c>
      <c r="B21" s="10" t="s">
        <v>130</v>
      </c>
      <c r="C21" s="11">
        <f>SUM(C22:C23)</f>
        <v>80000</v>
      </c>
      <c r="D21" s="11">
        <f>SUM(D22:D23)</f>
        <v>30000</v>
      </c>
      <c r="E21" s="12">
        <f t="shared" si="0"/>
        <v>50000</v>
      </c>
      <c r="F21" s="13">
        <f t="shared" si="1"/>
        <v>37.5</v>
      </c>
    </row>
    <row r="22" customFormat="1" ht="16.5" spans="1:6">
      <c r="A22" s="14">
        <v>705</v>
      </c>
      <c r="B22" s="15" t="s">
        <v>174</v>
      </c>
      <c r="C22" s="16">
        <v>50000</v>
      </c>
      <c r="D22" s="16">
        <v>0</v>
      </c>
      <c r="E22" s="24">
        <f t="shared" si="0"/>
        <v>50000</v>
      </c>
      <c r="F22" s="13">
        <f t="shared" si="1"/>
        <v>0</v>
      </c>
    </row>
    <row r="23" customFormat="1" ht="16.5" spans="1:6">
      <c r="A23" s="14">
        <v>707</v>
      </c>
      <c r="B23" s="15" t="s">
        <v>35</v>
      </c>
      <c r="C23" s="16">
        <f>30000</f>
        <v>30000</v>
      </c>
      <c r="D23" s="16">
        <v>30000</v>
      </c>
      <c r="E23" s="24">
        <f t="shared" si="0"/>
        <v>0</v>
      </c>
      <c r="F23" s="13">
        <f t="shared" si="1"/>
        <v>100</v>
      </c>
    </row>
    <row r="24" customFormat="1" ht="16.5" spans="1:6">
      <c r="A24" s="9">
        <v>800</v>
      </c>
      <c r="B24" s="10" t="s">
        <v>131</v>
      </c>
      <c r="C24" s="29">
        <f>SUM(C25:C26)</f>
        <v>22643613.66</v>
      </c>
      <c r="D24" s="11">
        <f>SUM(D25:D26)</f>
        <v>5046722.4</v>
      </c>
      <c r="E24" s="12">
        <f t="shared" si="0"/>
        <v>17596891.26</v>
      </c>
      <c r="F24" s="13">
        <f t="shared" si="1"/>
        <v>22.2876192633292</v>
      </c>
    </row>
    <row r="25" customFormat="1" ht="16.5" spans="1:6">
      <c r="A25" s="14">
        <v>801</v>
      </c>
      <c r="B25" s="15" t="s">
        <v>132</v>
      </c>
      <c r="C25" s="16">
        <v>22393613.66</v>
      </c>
      <c r="D25" s="16">
        <v>4824202.4</v>
      </c>
      <c r="E25" s="17">
        <f t="shared" si="0"/>
        <v>17569411.26</v>
      </c>
      <c r="F25" s="13">
        <f t="shared" si="1"/>
        <v>21.5427597941332</v>
      </c>
    </row>
    <row r="26" customFormat="1" ht="16.5" spans="1:6">
      <c r="A26" s="14">
        <v>804</v>
      </c>
      <c r="B26" s="15" t="s">
        <v>133</v>
      </c>
      <c r="C26" s="16">
        <v>250000</v>
      </c>
      <c r="D26" s="16">
        <v>222520</v>
      </c>
      <c r="E26" s="17">
        <f t="shared" si="0"/>
        <v>27480</v>
      </c>
      <c r="F26" s="13">
        <f t="shared" si="1"/>
        <v>89.008</v>
      </c>
    </row>
    <row r="27" customFormat="1" ht="16.5" hidden="1" spans="1:6">
      <c r="A27" s="9">
        <v>1000</v>
      </c>
      <c r="B27" s="10" t="s">
        <v>134</v>
      </c>
      <c r="C27" s="29">
        <f>C28</f>
        <v>0</v>
      </c>
      <c r="D27" s="29">
        <f>D28</f>
        <v>0</v>
      </c>
      <c r="E27" s="17">
        <f t="shared" si="0"/>
        <v>0</v>
      </c>
      <c r="F27" s="13" t="e">
        <f t="shared" si="1"/>
        <v>#DIV/0!</v>
      </c>
    </row>
    <row r="28" customFormat="1" ht="16.5" hidden="1" spans="1:6">
      <c r="A28" s="14">
        <v>1003</v>
      </c>
      <c r="B28" s="15" t="s">
        <v>135</v>
      </c>
      <c r="C28" s="16">
        <v>0</v>
      </c>
      <c r="D28" s="16">
        <v>0</v>
      </c>
      <c r="E28" s="17">
        <f t="shared" si="0"/>
        <v>0</v>
      </c>
      <c r="F28" s="13" t="e">
        <f t="shared" si="1"/>
        <v>#DIV/0!</v>
      </c>
    </row>
    <row r="29" customFormat="1" ht="16.5" spans="1:6">
      <c r="A29" s="14">
        <v>1001</v>
      </c>
      <c r="B29" s="15" t="s">
        <v>212</v>
      </c>
      <c r="C29" s="16">
        <v>250000</v>
      </c>
      <c r="D29" s="16">
        <v>172670.71</v>
      </c>
      <c r="E29" s="17">
        <f t="shared" si="0"/>
        <v>77329.29</v>
      </c>
      <c r="F29" s="13">
        <f t="shared" si="1"/>
        <v>69.068284</v>
      </c>
    </row>
    <row r="30" customFormat="1" ht="16.5" spans="1:6">
      <c r="A30" s="9">
        <v>1100</v>
      </c>
      <c r="B30" s="10" t="s">
        <v>136</v>
      </c>
      <c r="C30" s="29">
        <f>C31+C32</f>
        <v>7640492</v>
      </c>
      <c r="D30" s="11">
        <f>D31+D32</f>
        <v>829687.87</v>
      </c>
      <c r="E30" s="30">
        <f t="shared" si="0"/>
        <v>6810804.13</v>
      </c>
      <c r="F30" s="13">
        <f t="shared" si="1"/>
        <v>10.8590895717187</v>
      </c>
    </row>
    <row r="31" customFormat="1" ht="16.5" spans="1:6">
      <c r="A31" s="14">
        <v>1101</v>
      </c>
      <c r="B31" s="15" t="s">
        <v>137</v>
      </c>
      <c r="C31" s="16">
        <v>4345150</v>
      </c>
      <c r="D31" s="31">
        <v>829687.87</v>
      </c>
      <c r="E31" s="24">
        <f t="shared" si="0"/>
        <v>3515462.13</v>
      </c>
      <c r="F31" s="13">
        <f t="shared" si="1"/>
        <v>19.0945737201247</v>
      </c>
    </row>
    <row r="32" customFormat="1" ht="16.5" customHeight="1" spans="1:6">
      <c r="A32" s="14">
        <v>1102</v>
      </c>
      <c r="B32" s="15" t="s">
        <v>150</v>
      </c>
      <c r="C32" s="32">
        <v>3295342</v>
      </c>
      <c r="D32" s="33">
        <v>0</v>
      </c>
      <c r="E32" s="24">
        <f t="shared" si="0"/>
        <v>3295342</v>
      </c>
      <c r="F32" s="13">
        <f t="shared" si="1"/>
        <v>0</v>
      </c>
    </row>
    <row r="33" customFormat="1" ht="21.75" customHeight="1" spans="1:6">
      <c r="A33" s="34">
        <v>1204</v>
      </c>
      <c r="B33" s="35" t="s">
        <v>151</v>
      </c>
      <c r="C33" s="36">
        <v>150000</v>
      </c>
      <c r="D33" s="37">
        <v>63156</v>
      </c>
      <c r="E33" s="24">
        <f t="shared" si="0"/>
        <v>86844</v>
      </c>
      <c r="F33" s="38">
        <f t="shared" si="1"/>
        <v>42.104</v>
      </c>
    </row>
    <row r="34" s="1" customFormat="1" ht="16.5" spans="1:24">
      <c r="A34" s="39">
        <v>1301</v>
      </c>
      <c r="B34" s="40" t="s">
        <v>206</v>
      </c>
      <c r="C34" s="41">
        <v>2000</v>
      </c>
      <c r="D34" s="13">
        <v>806.57</v>
      </c>
      <c r="E34" s="24">
        <f t="shared" si="0"/>
        <v>1193.43</v>
      </c>
      <c r="F34" s="13">
        <f t="shared" si="1"/>
        <v>40.3285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customFormat="1" ht="23.25" hidden="1" spans="1:6">
      <c r="A35" s="43">
        <v>1300</v>
      </c>
      <c r="B35" s="44" t="s">
        <v>154</v>
      </c>
      <c r="C35" s="45">
        <v>0</v>
      </c>
      <c r="D35" s="45"/>
      <c r="E35" s="30"/>
      <c r="F35" s="46"/>
    </row>
    <row r="36" customFormat="1" ht="23.25" hidden="1" spans="1:6">
      <c r="A36" s="47">
        <v>1301</v>
      </c>
      <c r="B36" s="48" t="s">
        <v>154</v>
      </c>
      <c r="C36" s="49">
        <v>0</v>
      </c>
      <c r="D36" s="49">
        <v>0</v>
      </c>
      <c r="E36" s="30">
        <f t="shared" ref="E36:E40" si="2">D36-C36</f>
        <v>0</v>
      </c>
      <c r="F36" s="13" t="e">
        <f t="shared" ref="F36:F39" si="3">D36/C36*100</f>
        <v>#DIV/0!</v>
      </c>
    </row>
    <row r="37" customFormat="1" ht="16.5" hidden="1" spans="1:6">
      <c r="A37" s="50" t="s">
        <v>140</v>
      </c>
      <c r="B37" s="51" t="s">
        <v>141</v>
      </c>
      <c r="C37" s="52">
        <f>C39</f>
        <v>0</v>
      </c>
      <c r="D37" s="53">
        <f>D39</f>
        <v>0</v>
      </c>
      <c r="E37" s="30">
        <f t="shared" si="2"/>
        <v>0</v>
      </c>
      <c r="F37" s="13" t="e">
        <f t="shared" si="3"/>
        <v>#DIV/0!</v>
      </c>
    </row>
    <row r="38" customFormat="1" ht="16.5" hidden="1" spans="1:6">
      <c r="A38" s="9"/>
      <c r="B38" s="10" t="s">
        <v>142</v>
      </c>
      <c r="C38" s="54"/>
      <c r="D38" s="54"/>
      <c r="E38" s="30">
        <f t="shared" si="2"/>
        <v>0</v>
      </c>
      <c r="F38" s="13"/>
    </row>
    <row r="39" customFormat="1" ht="16.5" hidden="1" spans="1:6">
      <c r="A39" s="55" t="s">
        <v>143</v>
      </c>
      <c r="B39" s="56" t="s">
        <v>144</v>
      </c>
      <c r="C39" s="57">
        <v>0</v>
      </c>
      <c r="D39" s="57">
        <v>0</v>
      </c>
      <c r="E39" s="30">
        <f t="shared" si="2"/>
        <v>0</v>
      </c>
      <c r="F39" s="13" t="e">
        <f t="shared" si="3"/>
        <v>#DIV/0!</v>
      </c>
    </row>
    <row r="40" customFormat="1" ht="16.5" hidden="1" spans="1:6">
      <c r="A40" s="14"/>
      <c r="B40" s="15" t="s">
        <v>145</v>
      </c>
      <c r="C40" s="26"/>
      <c r="D40" s="26"/>
      <c r="E40" s="30">
        <f t="shared" si="2"/>
        <v>0</v>
      </c>
      <c r="F40" s="13"/>
    </row>
    <row r="41" customFormat="1" ht="16.5" spans="1:6">
      <c r="A41" s="9">
        <v>9800</v>
      </c>
      <c r="B41" s="10" t="s">
        <v>146</v>
      </c>
      <c r="C41" s="11">
        <f>C2+C9+C11+C14+C18+C21+C24+C30+C29+C33+C34</f>
        <v>102042083.55</v>
      </c>
      <c r="D41" s="29">
        <f>D2+D9+D11+D14+D18+D21+D24+D30+D29+D33+D34</f>
        <v>49051338.57</v>
      </c>
      <c r="E41" s="29">
        <f>E2+E9+E11+E14+E18+E21+E24+E30+E29+E33+E34</f>
        <v>52990744.98</v>
      </c>
      <c r="F41" s="13">
        <f>D41/C41*100</f>
        <v>48.0697148309062</v>
      </c>
    </row>
  </sheetData>
  <mergeCells count="6">
    <mergeCell ref="A37:A38"/>
    <mergeCell ref="A39:A40"/>
    <mergeCell ref="C37:C38"/>
    <mergeCell ref="C39:C40"/>
    <mergeCell ref="D37:D38"/>
    <mergeCell ref="D39:D40"/>
  </mergeCells>
  <pageMargins left="0.75" right="0.75" top="1" bottom="1" header="0.5" footer="0.5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16" workbookViewId="0">
      <selection activeCell="D14" sqref="D14"/>
    </sheetView>
  </sheetViews>
  <sheetFormatPr defaultColWidth="9" defaultRowHeight="15" outlineLevelCol="5"/>
  <cols>
    <col min="1" max="1" width="19.4285714285714" customWidth="1"/>
    <col min="2" max="2" width="32.1428571428571" style="2" customWidth="1"/>
    <col min="3" max="3" width="18" style="3" customWidth="1"/>
    <col min="4" max="4" width="16.5714285714286" style="3" customWidth="1"/>
    <col min="5" max="5" width="17.5714285714286" style="3" customWidth="1"/>
    <col min="6" max="6" width="8.28571428571429" customWidth="1"/>
  </cols>
  <sheetData>
    <row r="1" ht="60.75" customHeight="1" spans="1:6">
      <c r="A1" s="64" t="s">
        <v>64</v>
      </c>
      <c r="B1" s="65" t="s">
        <v>65</v>
      </c>
      <c r="C1" s="67" t="s">
        <v>66</v>
      </c>
      <c r="D1" s="67" t="s">
        <v>67</v>
      </c>
      <c r="E1" s="68" t="s">
        <v>68</v>
      </c>
      <c r="F1" s="69" t="s">
        <v>69</v>
      </c>
    </row>
    <row r="2" ht="15.75" spans="1:6">
      <c r="A2" s="70"/>
      <c r="B2" s="71"/>
      <c r="C2" s="73"/>
      <c r="D2" s="73"/>
      <c r="E2" s="74" t="s">
        <v>70</v>
      </c>
      <c r="F2" s="69"/>
    </row>
    <row r="3" ht="38.25" customHeight="1" spans="1:6">
      <c r="A3" s="114" t="s">
        <v>71</v>
      </c>
      <c r="B3" s="122" t="s">
        <v>72</v>
      </c>
      <c r="C3" s="129">
        <v>5220000</v>
      </c>
      <c r="D3" s="129">
        <v>906034.63</v>
      </c>
      <c r="E3" s="130">
        <v>-4313965.37</v>
      </c>
      <c r="F3" s="131">
        <f>D3/C3*100</f>
        <v>17.3569852490421</v>
      </c>
    </row>
    <row r="4" ht="25.5" customHeight="1" spans="1:6">
      <c r="A4" s="114" t="s">
        <v>73</v>
      </c>
      <c r="B4" s="122" t="s">
        <v>74</v>
      </c>
      <c r="C4" s="129">
        <v>785000</v>
      </c>
      <c r="D4" s="129">
        <v>120105.76</v>
      </c>
      <c r="E4" s="130">
        <v>-664894.24</v>
      </c>
      <c r="F4" s="131">
        <f>D4/C4*100</f>
        <v>15.3000968152866</v>
      </c>
    </row>
    <row r="5" ht="19.5" customHeight="1" spans="1:6">
      <c r="A5" s="114" t="s">
        <v>75</v>
      </c>
      <c r="B5" s="122" t="s">
        <v>76</v>
      </c>
      <c r="C5" s="129">
        <v>1177000</v>
      </c>
      <c r="D5" s="129">
        <v>45387.6</v>
      </c>
      <c r="E5" s="130">
        <v>-1131612.4</v>
      </c>
      <c r="F5" s="131">
        <f>D5/C5*100</f>
        <v>3.85621070518267</v>
      </c>
    </row>
    <row r="6" ht="13.5" customHeight="1" spans="1:6">
      <c r="A6" s="118" t="s">
        <v>77</v>
      </c>
      <c r="B6" s="119" t="s">
        <v>78</v>
      </c>
      <c r="C6" s="121">
        <v>10110000</v>
      </c>
      <c r="D6" s="121">
        <v>2683258.98</v>
      </c>
      <c r="E6" s="204">
        <v>-7428741.02</v>
      </c>
      <c r="F6" s="131">
        <f t="shared" ref="F6:F26" si="0">D6/C6*100</f>
        <v>26.5406427299703</v>
      </c>
    </row>
    <row r="7" ht="13.5" customHeight="1" spans="1:6">
      <c r="A7" s="114"/>
      <c r="B7" s="122" t="s">
        <v>79</v>
      </c>
      <c r="C7" s="124"/>
      <c r="D7" s="124"/>
      <c r="E7" s="205"/>
      <c r="F7" s="131"/>
    </row>
    <row r="8" ht="37.5" customHeight="1" spans="1:6">
      <c r="A8" s="114" t="s">
        <v>80</v>
      </c>
      <c r="B8" s="115" t="s">
        <v>81</v>
      </c>
      <c r="C8" s="117">
        <v>5520000</v>
      </c>
      <c r="D8" s="117">
        <v>764872.92</v>
      </c>
      <c r="E8" s="177">
        <v>-4757127.06</v>
      </c>
      <c r="F8" s="131">
        <f t="shared" si="0"/>
        <v>13.8563934782609</v>
      </c>
    </row>
    <row r="9" ht="34.5" spans="1:6">
      <c r="A9" s="114" t="s">
        <v>82</v>
      </c>
      <c r="B9" s="115" t="s">
        <v>83</v>
      </c>
      <c r="C9" s="117">
        <v>4590000</v>
      </c>
      <c r="D9" s="117">
        <v>1917431.7</v>
      </c>
      <c r="E9" s="177">
        <v>-2672568.3</v>
      </c>
      <c r="F9" s="131">
        <f t="shared" si="0"/>
        <v>41.7741111111111</v>
      </c>
    </row>
    <row r="10" ht="23.25" spans="1:6">
      <c r="A10" s="114" t="s">
        <v>84</v>
      </c>
      <c r="B10" s="115" t="s">
        <v>85</v>
      </c>
      <c r="C10" s="117">
        <v>0</v>
      </c>
      <c r="D10" s="117">
        <v>954.34</v>
      </c>
      <c r="E10" s="177">
        <v>954.34</v>
      </c>
      <c r="F10" s="131" t="e">
        <f t="shared" si="0"/>
        <v>#DIV/0!</v>
      </c>
    </row>
    <row r="11" ht="21" spans="1:6">
      <c r="A11" s="118" t="s">
        <v>86</v>
      </c>
      <c r="B11" s="119" t="s">
        <v>87</v>
      </c>
      <c r="C11" s="121">
        <v>2308000</v>
      </c>
      <c r="D11" s="121">
        <v>174530.63</v>
      </c>
      <c r="E11" s="204">
        <v>-2133469.37</v>
      </c>
      <c r="F11" s="131">
        <f t="shared" si="0"/>
        <v>7.56198570190641</v>
      </c>
    </row>
    <row r="12" ht="15.75" spans="1:6">
      <c r="A12" s="114"/>
      <c r="B12" s="122" t="s">
        <v>79</v>
      </c>
      <c r="C12" s="124"/>
      <c r="D12" s="124"/>
      <c r="E12" s="205"/>
      <c r="F12" s="131"/>
    </row>
    <row r="13" ht="38.25" customHeight="1" spans="1:6">
      <c r="A13" s="114" t="s">
        <v>88</v>
      </c>
      <c r="B13" s="115" t="s">
        <v>89</v>
      </c>
      <c r="C13" s="117">
        <v>1300000</v>
      </c>
      <c r="D13" s="206"/>
      <c r="E13" s="207">
        <v>-20439.72</v>
      </c>
      <c r="F13" s="131">
        <f t="shared" si="0"/>
        <v>0</v>
      </c>
    </row>
    <row r="14" ht="48" customHeight="1" spans="1:6">
      <c r="A14" s="114" t="s">
        <v>90</v>
      </c>
      <c r="B14" s="115" t="s">
        <v>91</v>
      </c>
      <c r="C14" s="117">
        <v>968000</v>
      </c>
      <c r="D14" s="208"/>
      <c r="E14" s="177">
        <v>34012.31</v>
      </c>
      <c r="F14" s="131">
        <f t="shared" si="0"/>
        <v>0</v>
      </c>
    </row>
    <row r="15" ht="43.5" customHeight="1" spans="1:6">
      <c r="A15" s="114" t="s">
        <v>92</v>
      </c>
      <c r="B15" s="115" t="s">
        <v>93</v>
      </c>
      <c r="C15" s="117">
        <v>40000</v>
      </c>
      <c r="D15" s="209"/>
      <c r="E15" s="177">
        <v>-30156.04</v>
      </c>
      <c r="F15" s="131">
        <f t="shared" si="0"/>
        <v>0</v>
      </c>
    </row>
    <row r="16" ht="36" customHeight="1" spans="1:6">
      <c r="A16" s="114" t="s">
        <v>94</v>
      </c>
      <c r="B16" s="122" t="s">
        <v>95</v>
      </c>
      <c r="C16" s="129">
        <v>50000</v>
      </c>
      <c r="D16" s="129">
        <v>0</v>
      </c>
      <c r="E16" s="130">
        <v>-50000</v>
      </c>
      <c r="F16" s="131">
        <f t="shared" si="0"/>
        <v>0</v>
      </c>
    </row>
    <row r="17" ht="33.75" customHeight="1" spans="1:6">
      <c r="A17" s="114" t="s">
        <v>96</v>
      </c>
      <c r="B17" s="10" t="s">
        <v>97</v>
      </c>
      <c r="C17" s="174">
        <v>5513000</v>
      </c>
      <c r="D17" s="174">
        <v>488848.89</v>
      </c>
      <c r="E17" s="130">
        <v>-5024151.11</v>
      </c>
      <c r="F17" s="131">
        <f t="shared" si="0"/>
        <v>8.86720279339742</v>
      </c>
    </row>
    <row r="18" ht="58.5" customHeight="1" spans="1:6">
      <c r="A18" s="114" t="s">
        <v>98</v>
      </c>
      <c r="B18" s="127" t="s">
        <v>99</v>
      </c>
      <c r="C18" s="129">
        <v>0</v>
      </c>
      <c r="D18" s="129">
        <v>2500</v>
      </c>
      <c r="E18" s="130">
        <v>2500</v>
      </c>
      <c r="F18" s="131" t="e">
        <f t="shared" si="0"/>
        <v>#DIV/0!</v>
      </c>
    </row>
    <row r="19" ht="29.25" customHeight="1" spans="1:6">
      <c r="A19" s="114" t="s">
        <v>100</v>
      </c>
      <c r="B19" s="127" t="s">
        <v>101</v>
      </c>
      <c r="C19" s="129">
        <v>0</v>
      </c>
      <c r="D19" s="129">
        <v>7562.6</v>
      </c>
      <c r="E19" s="130" t="s">
        <v>102</v>
      </c>
      <c r="F19" s="131" t="e">
        <f t="shared" si="0"/>
        <v>#DIV/0!</v>
      </c>
    </row>
    <row r="20" ht="40.5" customHeight="1" spans="1:6">
      <c r="A20" s="114" t="s">
        <v>103</v>
      </c>
      <c r="B20" s="127" t="s">
        <v>104</v>
      </c>
      <c r="C20" s="129">
        <v>0</v>
      </c>
      <c r="D20" s="129">
        <v>0</v>
      </c>
      <c r="E20" s="130">
        <v>0</v>
      </c>
      <c r="F20" s="131" t="e">
        <f t="shared" si="0"/>
        <v>#DIV/0!</v>
      </c>
    </row>
    <row r="21" ht="34.5" customHeight="1" spans="1:6">
      <c r="A21" s="114" t="s">
        <v>105</v>
      </c>
      <c r="B21" s="127" t="s">
        <v>106</v>
      </c>
      <c r="C21" s="129">
        <v>0</v>
      </c>
      <c r="D21" s="129">
        <v>0</v>
      </c>
      <c r="E21" s="130">
        <v>0</v>
      </c>
      <c r="F21" s="131" t="e">
        <f t="shared" si="0"/>
        <v>#DIV/0!</v>
      </c>
    </row>
    <row r="22" ht="47.25" customHeight="1" spans="1:6">
      <c r="A22" s="114" t="s">
        <v>107</v>
      </c>
      <c r="B22" s="127" t="s">
        <v>108</v>
      </c>
      <c r="C22" s="129">
        <v>-335.41</v>
      </c>
      <c r="D22" s="129">
        <v>-335.41</v>
      </c>
      <c r="E22" s="130">
        <v>0</v>
      </c>
      <c r="F22" s="131">
        <f t="shared" si="0"/>
        <v>100</v>
      </c>
    </row>
    <row r="23" ht="15.75" customHeight="1" spans="1:6">
      <c r="A23" s="132" t="s">
        <v>109</v>
      </c>
      <c r="B23" s="133"/>
      <c r="C23" s="174">
        <v>25162664.59</v>
      </c>
      <c r="D23" s="174">
        <v>4427893.68</v>
      </c>
      <c r="E23" s="210">
        <v>-20734770.91</v>
      </c>
      <c r="F23" s="131">
        <f t="shared" si="0"/>
        <v>17.5970778617766</v>
      </c>
    </row>
    <row r="24" ht="16.5" spans="1:6">
      <c r="A24" s="71" t="s">
        <v>110</v>
      </c>
      <c r="B24" s="15" t="s">
        <v>111</v>
      </c>
      <c r="C24" s="200">
        <v>548800</v>
      </c>
      <c r="D24" s="200">
        <v>543175</v>
      </c>
      <c r="E24" s="211">
        <v>-5625</v>
      </c>
      <c r="F24" s="131">
        <f t="shared" si="0"/>
        <v>98.9750364431487</v>
      </c>
    </row>
    <row r="25" ht="16.5" spans="1:6">
      <c r="A25" s="132" t="s">
        <v>112</v>
      </c>
      <c r="B25" s="133"/>
      <c r="C25" s="174">
        <v>25711464.59</v>
      </c>
      <c r="D25" s="174">
        <v>4971068.68</v>
      </c>
      <c r="E25" s="210">
        <v>-20740395.91</v>
      </c>
      <c r="F25" s="131">
        <f t="shared" si="0"/>
        <v>19.3340549022377</v>
      </c>
    </row>
    <row r="26" ht="28.5" customHeight="1" spans="1:6">
      <c r="A26" s="132" t="s">
        <v>113</v>
      </c>
      <c r="B26" s="133"/>
      <c r="C26" s="174">
        <f>C25</f>
        <v>25711464.59</v>
      </c>
      <c r="D26" s="174">
        <f>D25</f>
        <v>4971068.68</v>
      </c>
      <c r="E26" s="210" t="s">
        <v>114</v>
      </c>
      <c r="F26" s="131">
        <f t="shared" si="0"/>
        <v>19.3340549022377</v>
      </c>
    </row>
  </sheetData>
  <mergeCells count="15">
    <mergeCell ref="A23:B23"/>
    <mergeCell ref="A25:B25"/>
    <mergeCell ref="A26:B26"/>
    <mergeCell ref="A1:A2"/>
    <mergeCell ref="A6:A7"/>
    <mergeCell ref="A11:A12"/>
    <mergeCell ref="B1:B2"/>
    <mergeCell ref="C1:C2"/>
    <mergeCell ref="C6:C7"/>
    <mergeCell ref="C11:C12"/>
    <mergeCell ref="D1:D2"/>
    <mergeCell ref="D6:D7"/>
    <mergeCell ref="D11:D12"/>
    <mergeCell ref="E6:E7"/>
    <mergeCell ref="E11:E12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1" sqref="$A1:$XFD1048576"/>
    </sheetView>
  </sheetViews>
  <sheetFormatPr defaultColWidth="9" defaultRowHeight="15" outlineLevelCol="6"/>
  <cols>
    <col min="1" max="1" width="10.5714285714286" customWidth="1"/>
    <col min="2" max="2" width="36" style="2" customWidth="1"/>
    <col min="3" max="3" width="19.7142857142857" style="3" customWidth="1"/>
    <col min="4" max="4" width="20.4285714285714" style="3" customWidth="1"/>
    <col min="5" max="5" width="17.5714285714286" style="3" customWidth="1"/>
    <col min="6" max="6" width="8.42857142857143" style="3" customWidth="1"/>
    <col min="7" max="7" width="5.71428571428571" customWidth="1"/>
  </cols>
  <sheetData>
    <row r="1" ht="64.5" spans="1:6">
      <c r="A1" s="4" t="s">
        <v>115</v>
      </c>
      <c r="B1" s="5" t="s">
        <v>116</v>
      </c>
      <c r="C1" s="6" t="s">
        <v>66</v>
      </c>
      <c r="D1" s="6" t="s">
        <v>67</v>
      </c>
      <c r="E1" s="7" t="s">
        <v>117</v>
      </c>
      <c r="F1" s="13" t="s">
        <v>118</v>
      </c>
    </row>
    <row r="2" ht="16.5" spans="1:6">
      <c r="A2" s="9">
        <v>100</v>
      </c>
      <c r="B2" s="10" t="s">
        <v>119</v>
      </c>
      <c r="C2" s="29">
        <f>SUM(C3:C6)</f>
        <v>12561900</v>
      </c>
      <c r="D2" s="29">
        <f>SUM(D3:D6)</f>
        <v>2307460.75</v>
      </c>
      <c r="E2" s="30">
        <f>D2-C2</f>
        <v>-10254439.25</v>
      </c>
      <c r="F2" s="13">
        <f>D2/C2*100</f>
        <v>18.3687240783639</v>
      </c>
    </row>
    <row r="3" ht="23.25" spans="1:6">
      <c r="A3" s="14">
        <v>102</v>
      </c>
      <c r="B3" s="15" t="s">
        <v>120</v>
      </c>
      <c r="C3" s="16">
        <v>768900</v>
      </c>
      <c r="D3" s="16">
        <v>92396.3</v>
      </c>
      <c r="E3" s="30">
        <f t="shared" ref="E3:E32" si="0">D3-C3</f>
        <v>-676503.7</v>
      </c>
      <c r="F3" s="13">
        <f>D3/C3*100</f>
        <v>12.0166861750553</v>
      </c>
    </row>
    <row r="4" ht="45.75" spans="1:6">
      <c r="A4" s="14">
        <v>104</v>
      </c>
      <c r="B4" s="15" t="s">
        <v>10</v>
      </c>
      <c r="C4" s="16">
        <v>4980400</v>
      </c>
      <c r="D4" s="16">
        <v>692345.46</v>
      </c>
      <c r="E4" s="30">
        <f t="shared" si="0"/>
        <v>-4288054.54</v>
      </c>
      <c r="F4" s="13">
        <f>D4/C4*100</f>
        <v>13.9014026985784</v>
      </c>
    </row>
    <row r="5" ht="16.5" spans="1:6">
      <c r="A5" s="14">
        <v>111</v>
      </c>
      <c r="B5" s="15" t="s">
        <v>12</v>
      </c>
      <c r="C5" s="16">
        <v>50000</v>
      </c>
      <c r="D5" s="16">
        <v>0</v>
      </c>
      <c r="E5" s="30">
        <f t="shared" si="0"/>
        <v>-50000</v>
      </c>
      <c r="F5" s="13">
        <f t="shared" ref="F5:F33" si="1">D5/C5*100</f>
        <v>0</v>
      </c>
    </row>
    <row r="6" ht="16.5" spans="1:6">
      <c r="A6" s="14">
        <v>113</v>
      </c>
      <c r="B6" s="15" t="s">
        <v>121</v>
      </c>
      <c r="C6" s="16">
        <v>6762600</v>
      </c>
      <c r="D6" s="23">
        <v>1522718.99</v>
      </c>
      <c r="E6" s="30">
        <f t="shared" si="0"/>
        <v>-5239881.01</v>
      </c>
      <c r="F6" s="13">
        <f t="shared" si="1"/>
        <v>22.5167685505575</v>
      </c>
    </row>
    <row r="7" ht="16.5" spans="1:6">
      <c r="A7" s="9">
        <v>200</v>
      </c>
      <c r="B7" s="10" t="s">
        <v>122</v>
      </c>
      <c r="C7" s="29">
        <f>C8</f>
        <v>295300</v>
      </c>
      <c r="D7" s="29">
        <f>D8</f>
        <v>29407.34</v>
      </c>
      <c r="E7" s="30">
        <f t="shared" si="0"/>
        <v>-265892.66</v>
      </c>
      <c r="F7" s="13">
        <f t="shared" si="1"/>
        <v>9.95846258042668</v>
      </c>
    </row>
    <row r="8" ht="16.5" spans="1:6">
      <c r="A8" s="14">
        <v>203</v>
      </c>
      <c r="B8" s="15" t="s">
        <v>123</v>
      </c>
      <c r="C8" s="16">
        <v>295300</v>
      </c>
      <c r="D8" s="16">
        <v>29407.34</v>
      </c>
      <c r="E8" s="30">
        <f t="shared" si="0"/>
        <v>-265892.66</v>
      </c>
      <c r="F8" s="13">
        <f t="shared" si="1"/>
        <v>9.95846258042668</v>
      </c>
    </row>
    <row r="9" ht="21.75" spans="1:6">
      <c r="A9" s="9">
        <v>300</v>
      </c>
      <c r="B9" s="10" t="s">
        <v>124</v>
      </c>
      <c r="C9" s="29">
        <f>SUM(C10:C11)</f>
        <v>728000</v>
      </c>
      <c r="D9" s="29">
        <f>SUM(D10:D11)</f>
        <v>0</v>
      </c>
      <c r="E9" s="30">
        <f t="shared" si="0"/>
        <v>-728000</v>
      </c>
      <c r="F9" s="13">
        <f t="shared" si="1"/>
        <v>0</v>
      </c>
    </row>
    <row r="10" ht="34.5" spans="1:6">
      <c r="A10" s="14">
        <v>309</v>
      </c>
      <c r="B10" s="25" t="s">
        <v>125</v>
      </c>
      <c r="C10" s="26">
        <v>663000</v>
      </c>
      <c r="D10" s="16">
        <v>0</v>
      </c>
      <c r="E10" s="30">
        <f t="shared" si="0"/>
        <v>-663000</v>
      </c>
      <c r="F10" s="13">
        <f t="shared" si="1"/>
        <v>0</v>
      </c>
    </row>
    <row r="11" ht="23.25" spans="1:6">
      <c r="A11" s="14">
        <v>314</v>
      </c>
      <c r="B11" s="27" t="s">
        <v>126</v>
      </c>
      <c r="C11" s="16">
        <v>65000</v>
      </c>
      <c r="D11" s="16">
        <v>0</v>
      </c>
      <c r="E11" s="30">
        <f t="shared" si="0"/>
        <v>-65000</v>
      </c>
      <c r="F11" s="13">
        <f t="shared" si="1"/>
        <v>0</v>
      </c>
    </row>
    <row r="12" ht="16.5" spans="1:6">
      <c r="A12" s="9">
        <v>400</v>
      </c>
      <c r="B12" s="28" t="s">
        <v>127</v>
      </c>
      <c r="C12" s="29">
        <f>SUM(C13:C14)</f>
        <v>2407400</v>
      </c>
      <c r="D12" s="29">
        <f>SUM(D13:D14)</f>
        <v>0</v>
      </c>
      <c r="E12" s="30">
        <f t="shared" si="0"/>
        <v>-2407400</v>
      </c>
      <c r="F12" s="13">
        <f t="shared" si="1"/>
        <v>0</v>
      </c>
    </row>
    <row r="13" ht="16.5" spans="1:6">
      <c r="A13" s="14">
        <v>409</v>
      </c>
      <c r="B13" s="15" t="s">
        <v>27</v>
      </c>
      <c r="C13" s="16">
        <v>2077400</v>
      </c>
      <c r="D13" s="16">
        <v>0</v>
      </c>
      <c r="E13" s="30">
        <f t="shared" si="0"/>
        <v>-2077400</v>
      </c>
      <c r="F13" s="13">
        <f t="shared" si="1"/>
        <v>0</v>
      </c>
    </row>
    <row r="14" ht="23.25" spans="1:6">
      <c r="A14" s="14">
        <v>412</v>
      </c>
      <c r="B14" s="15" t="s">
        <v>128</v>
      </c>
      <c r="C14" s="16">
        <v>330000</v>
      </c>
      <c r="D14" s="16">
        <v>0</v>
      </c>
      <c r="E14" s="30">
        <f t="shared" si="0"/>
        <v>-330000</v>
      </c>
      <c r="F14" s="13">
        <f t="shared" si="1"/>
        <v>0</v>
      </c>
    </row>
    <row r="15" ht="16.5" spans="1:7">
      <c r="A15" s="9">
        <v>500</v>
      </c>
      <c r="B15" s="10" t="s">
        <v>129</v>
      </c>
      <c r="C15" s="29">
        <f>SUM(C16:C17)</f>
        <v>2453664.59</v>
      </c>
      <c r="D15" s="29">
        <f>SUM(D16:D17)</f>
        <v>1032852.24</v>
      </c>
      <c r="E15" s="30">
        <f t="shared" si="0"/>
        <v>-1420812.35</v>
      </c>
      <c r="F15" s="13">
        <f t="shared" si="1"/>
        <v>42.0942717358121</v>
      </c>
      <c r="G15">
        <f>D15/D33*100</f>
        <v>21.7562611402121</v>
      </c>
    </row>
    <row r="16" ht="16.5" spans="1:6">
      <c r="A16" s="14">
        <v>502</v>
      </c>
      <c r="B16" s="15" t="s">
        <v>31</v>
      </c>
      <c r="C16" s="16">
        <v>100000</v>
      </c>
      <c r="D16" s="16">
        <v>0</v>
      </c>
      <c r="E16" s="30">
        <f t="shared" si="0"/>
        <v>-100000</v>
      </c>
      <c r="F16" s="13">
        <f t="shared" si="1"/>
        <v>0</v>
      </c>
    </row>
    <row r="17" ht="16.5" spans="1:6">
      <c r="A17" s="14">
        <v>503</v>
      </c>
      <c r="B17" s="15" t="s">
        <v>33</v>
      </c>
      <c r="C17" s="16">
        <v>2353664.59</v>
      </c>
      <c r="D17" s="16">
        <v>1032852.24</v>
      </c>
      <c r="E17" s="30">
        <f t="shared" si="0"/>
        <v>-1320812.35</v>
      </c>
      <c r="F17" s="13">
        <f t="shared" si="1"/>
        <v>43.8827284222345</v>
      </c>
    </row>
    <row r="18" ht="16.5" spans="1:6">
      <c r="A18" s="9">
        <v>700</v>
      </c>
      <c r="B18" s="10" t="s">
        <v>130</v>
      </c>
      <c r="C18" s="29">
        <f>C19</f>
        <v>100000</v>
      </c>
      <c r="D18" s="29">
        <v>0</v>
      </c>
      <c r="E18" s="30">
        <f t="shared" si="0"/>
        <v>-100000</v>
      </c>
      <c r="F18" s="13">
        <f t="shared" si="1"/>
        <v>0</v>
      </c>
    </row>
    <row r="19" ht="16.5" spans="1:6">
      <c r="A19" s="14">
        <v>707</v>
      </c>
      <c r="B19" s="15" t="s">
        <v>35</v>
      </c>
      <c r="C19" s="16">
        <v>100000</v>
      </c>
      <c r="D19" s="16">
        <v>0</v>
      </c>
      <c r="E19" s="30">
        <f t="shared" si="0"/>
        <v>-100000</v>
      </c>
      <c r="F19" s="13">
        <f t="shared" si="1"/>
        <v>0</v>
      </c>
    </row>
    <row r="20" ht="16.5" spans="1:6">
      <c r="A20" s="9">
        <v>800</v>
      </c>
      <c r="B20" s="10" t="s">
        <v>131</v>
      </c>
      <c r="C20" s="29">
        <f>SUM(C21:C22)</f>
        <v>5653600</v>
      </c>
      <c r="D20" s="29">
        <f>SUM(D21:D22)</f>
        <v>1032501.82</v>
      </c>
      <c r="E20" s="30">
        <f t="shared" si="0"/>
        <v>-4621098.18</v>
      </c>
      <c r="F20" s="13">
        <f t="shared" si="1"/>
        <v>18.2627320645253</v>
      </c>
    </row>
    <row r="21" ht="16.5" spans="1:6">
      <c r="A21" s="14">
        <v>801</v>
      </c>
      <c r="B21" s="15" t="s">
        <v>132</v>
      </c>
      <c r="C21" s="16">
        <v>5403600</v>
      </c>
      <c r="D21" s="16">
        <v>1026421.82</v>
      </c>
      <c r="E21" s="30">
        <f t="shared" si="0"/>
        <v>-4377178.18</v>
      </c>
      <c r="F21" s="13">
        <f t="shared" si="1"/>
        <v>18.9951480494485</v>
      </c>
    </row>
    <row r="22" ht="16.5" spans="1:6">
      <c r="A22" s="14">
        <v>804</v>
      </c>
      <c r="B22" s="15" t="s">
        <v>133</v>
      </c>
      <c r="C22" s="16">
        <v>250000</v>
      </c>
      <c r="D22" s="16">
        <v>6080</v>
      </c>
      <c r="E22" s="30">
        <f t="shared" si="0"/>
        <v>-243920</v>
      </c>
      <c r="F22" s="13">
        <f t="shared" si="1"/>
        <v>2.432</v>
      </c>
    </row>
    <row r="23" ht="16.5" spans="1:6">
      <c r="A23" s="9">
        <v>1000</v>
      </c>
      <c r="B23" s="10" t="s">
        <v>134</v>
      </c>
      <c r="C23" s="29">
        <f>C24</f>
        <v>60000</v>
      </c>
      <c r="D23" s="29">
        <f>D24</f>
        <v>0</v>
      </c>
      <c r="E23" s="30">
        <f t="shared" si="0"/>
        <v>-60000</v>
      </c>
      <c r="F23" s="13">
        <f t="shared" si="1"/>
        <v>0</v>
      </c>
    </row>
    <row r="24" ht="16.5" spans="1:6">
      <c r="A24" s="14">
        <v>1003</v>
      </c>
      <c r="B24" s="15" t="s">
        <v>135</v>
      </c>
      <c r="C24" s="16">
        <v>60000</v>
      </c>
      <c r="D24" s="16">
        <v>0</v>
      </c>
      <c r="E24" s="30">
        <f t="shared" si="0"/>
        <v>-60000</v>
      </c>
      <c r="F24" s="13">
        <f t="shared" si="1"/>
        <v>0</v>
      </c>
    </row>
    <row r="25" ht="16.5" spans="1:6">
      <c r="A25" s="9">
        <v>1100</v>
      </c>
      <c r="B25" s="10" t="s">
        <v>136</v>
      </c>
      <c r="C25" s="29">
        <f>C26</f>
        <v>1340000</v>
      </c>
      <c r="D25" s="29">
        <f>D26</f>
        <v>284281.43</v>
      </c>
      <c r="E25" s="30">
        <f t="shared" si="0"/>
        <v>-1055718.57</v>
      </c>
      <c r="F25" s="13">
        <f t="shared" si="1"/>
        <v>21.2150320895522</v>
      </c>
    </row>
    <row r="26" ht="16.5" spans="1:6">
      <c r="A26" s="14">
        <v>1101</v>
      </c>
      <c r="B26" s="15" t="s">
        <v>137</v>
      </c>
      <c r="C26" s="16">
        <v>1340000</v>
      </c>
      <c r="D26" s="16">
        <v>284281.43</v>
      </c>
      <c r="E26" s="30">
        <f t="shared" si="0"/>
        <v>-1055718.57</v>
      </c>
      <c r="F26" s="13">
        <f t="shared" si="1"/>
        <v>21.2150320895522</v>
      </c>
    </row>
    <row r="27" ht="16.5" spans="1:6">
      <c r="A27" s="14">
        <v>1200</v>
      </c>
      <c r="B27" s="10" t="s">
        <v>138</v>
      </c>
      <c r="C27" s="190">
        <f>C28</f>
        <v>90000</v>
      </c>
      <c r="D27" s="201">
        <f>D28</f>
        <v>9000</v>
      </c>
      <c r="E27" s="30">
        <f t="shared" si="0"/>
        <v>-81000</v>
      </c>
      <c r="F27" s="13">
        <f t="shared" si="1"/>
        <v>10</v>
      </c>
    </row>
    <row r="28" ht="16.5" spans="1:6">
      <c r="A28" s="14">
        <v>1202</v>
      </c>
      <c r="B28" s="15" t="s">
        <v>139</v>
      </c>
      <c r="C28" s="32">
        <v>90000</v>
      </c>
      <c r="D28" s="191">
        <v>9000</v>
      </c>
      <c r="E28" s="30">
        <f t="shared" si="0"/>
        <v>-81000</v>
      </c>
      <c r="F28" s="13">
        <f t="shared" si="1"/>
        <v>10</v>
      </c>
    </row>
    <row r="29" customHeight="1" spans="1:6">
      <c r="A29" s="202" t="s">
        <v>140</v>
      </c>
      <c r="B29" s="203" t="s">
        <v>141</v>
      </c>
      <c r="C29" s="198">
        <f>C31</f>
        <v>222037.11</v>
      </c>
      <c r="D29" s="198">
        <f>D31</f>
        <v>51875.73</v>
      </c>
      <c r="E29" s="30">
        <f t="shared" si="0"/>
        <v>-170161.38</v>
      </c>
      <c r="F29" s="13">
        <f t="shared" si="1"/>
        <v>23.3635404460092</v>
      </c>
    </row>
    <row r="30" ht="12" customHeight="1" spans="1:6">
      <c r="A30" s="9"/>
      <c r="B30" s="10" t="s">
        <v>142</v>
      </c>
      <c r="C30" s="54"/>
      <c r="D30" s="54"/>
      <c r="E30" s="30">
        <f t="shared" si="0"/>
        <v>0</v>
      </c>
      <c r="F30" s="13"/>
    </row>
    <row r="31" customHeight="1" spans="1:6">
      <c r="A31" s="55" t="s">
        <v>143</v>
      </c>
      <c r="B31" s="56" t="s">
        <v>144</v>
      </c>
      <c r="C31" s="57">
        <v>222037.11</v>
      </c>
      <c r="D31" s="57">
        <v>51875.73</v>
      </c>
      <c r="E31" s="30">
        <f t="shared" si="0"/>
        <v>-170161.38</v>
      </c>
      <c r="F31" s="13">
        <f t="shared" si="1"/>
        <v>23.3635404460092</v>
      </c>
    </row>
    <row r="32" ht="9" customHeight="1" spans="1:6">
      <c r="A32" s="14"/>
      <c r="B32" s="15" t="s">
        <v>145</v>
      </c>
      <c r="C32" s="26"/>
      <c r="D32" s="26"/>
      <c r="E32" s="30">
        <f t="shared" si="0"/>
        <v>0</v>
      </c>
      <c r="F32" s="13"/>
    </row>
    <row r="33" ht="16.5" spans="1:6">
      <c r="A33" s="9">
        <v>9800</v>
      </c>
      <c r="B33" s="10" t="s">
        <v>146</v>
      </c>
      <c r="C33" s="29">
        <f>C29+C27+C25+C23+C20+C18+C15+C12+C9+C7+C2</f>
        <v>25911901.7</v>
      </c>
      <c r="D33" s="29">
        <f>D29+D27+D25+D23+D20+D18+D15+D12+D9+D7+D2</f>
        <v>4747379.31</v>
      </c>
      <c r="E33" s="190">
        <f>E29+E27+E25+E23+E20+E18+E15+E12+E9+E7+E2</f>
        <v>-21164522.39</v>
      </c>
      <c r="F33" s="13">
        <f t="shared" si="1"/>
        <v>18.3212307802171</v>
      </c>
    </row>
  </sheetData>
  <mergeCells count="6">
    <mergeCell ref="A29:A30"/>
    <mergeCell ref="A31:A32"/>
    <mergeCell ref="C29:C30"/>
    <mergeCell ref="C31:C32"/>
    <mergeCell ref="D29:D30"/>
    <mergeCell ref="D31:D32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1" sqref="$A1:$XFD1048576"/>
    </sheetView>
  </sheetViews>
  <sheetFormatPr defaultColWidth="9" defaultRowHeight="15" outlineLevelCol="5"/>
  <cols>
    <col min="1" max="1" width="19.4285714285714" customWidth="1"/>
    <col min="2" max="2" width="32.1428571428571" style="2" customWidth="1"/>
    <col min="3" max="3" width="21.2857142857143" style="63" customWidth="1"/>
    <col min="4" max="4" width="19.5714285714286" style="3" customWidth="1"/>
    <col min="5" max="5" width="17.5714285714286" style="3" customWidth="1"/>
    <col min="6" max="6" width="11" customWidth="1"/>
  </cols>
  <sheetData>
    <row r="1" ht="60.75" customHeight="1" spans="1:6">
      <c r="A1" s="64" t="s">
        <v>64</v>
      </c>
      <c r="B1" s="65" t="s">
        <v>65</v>
      </c>
      <c r="C1" s="66" t="s">
        <v>66</v>
      </c>
      <c r="D1" s="67" t="s">
        <v>67</v>
      </c>
      <c r="E1" s="68" t="s">
        <v>68</v>
      </c>
      <c r="F1" s="69" t="s">
        <v>69</v>
      </c>
    </row>
    <row r="2" ht="15.75" spans="1:6">
      <c r="A2" s="70"/>
      <c r="B2" s="71"/>
      <c r="C2" s="72"/>
      <c r="D2" s="73"/>
      <c r="E2" s="74" t="s">
        <v>70</v>
      </c>
      <c r="F2" s="69"/>
    </row>
    <row r="3" ht="38.25" customHeight="1" spans="1:6">
      <c r="A3" s="114" t="s">
        <v>71</v>
      </c>
      <c r="B3" s="122" t="s">
        <v>72</v>
      </c>
      <c r="C3" s="128">
        <v>5220000</v>
      </c>
      <c r="D3" s="129">
        <f>2680215.98+30979.35+56644.12+17100.07+1756.43+4290+120</f>
        <v>2791105.95</v>
      </c>
      <c r="E3" s="130">
        <f>C3-D3</f>
        <v>2428894.05</v>
      </c>
      <c r="F3" s="131">
        <f>D3/C3*100</f>
        <v>53.4694626436782</v>
      </c>
    </row>
    <row r="4" ht="25.5" customHeight="1" spans="1:6">
      <c r="A4" s="114" t="s">
        <v>73</v>
      </c>
      <c r="B4" s="122" t="s">
        <v>74</v>
      </c>
      <c r="C4" s="128">
        <v>785000</v>
      </c>
      <c r="D4" s="129">
        <f>347750.9+254.98+212.09-0.99</f>
        <v>348216.98</v>
      </c>
      <c r="E4" s="130">
        <f>C4-D4</f>
        <v>436783.02</v>
      </c>
      <c r="F4" s="131">
        <f>D4/C4*100</f>
        <v>44.358850955414</v>
      </c>
    </row>
    <row r="5" ht="19.5" customHeight="1" spans="1:6">
      <c r="A5" s="114" t="s">
        <v>75</v>
      </c>
      <c r="B5" s="122" t="s">
        <v>76</v>
      </c>
      <c r="C5" s="128">
        <v>1177000</v>
      </c>
      <c r="D5" s="129">
        <f>156416.32+1659.08</f>
        <v>158075.4</v>
      </c>
      <c r="E5" s="130">
        <f>C5-D5</f>
        <v>1018924.6</v>
      </c>
      <c r="F5" s="131">
        <f>D5/C5*100</f>
        <v>13.430365335599</v>
      </c>
    </row>
    <row r="6" ht="13.5" customHeight="1" spans="1:6">
      <c r="A6" s="118" t="s">
        <v>77</v>
      </c>
      <c r="B6" s="119" t="s">
        <v>78</v>
      </c>
      <c r="C6" s="120">
        <f>SUM(C8:C9)</f>
        <v>10110000</v>
      </c>
      <c r="D6" s="121">
        <f>SUM(D8:D10)</f>
        <v>3767762.52</v>
      </c>
      <c r="E6" s="121">
        <f>SUM(E8:E9)</f>
        <v>6343634.97</v>
      </c>
      <c r="F6" s="131">
        <f t="shared" ref="F6:F27" si="0">D6/C6*100</f>
        <v>37.2676807121662</v>
      </c>
    </row>
    <row r="7" ht="13.5" customHeight="1" spans="1:6">
      <c r="A7" s="114"/>
      <c r="B7" s="122" t="s">
        <v>79</v>
      </c>
      <c r="C7" s="123"/>
      <c r="D7" s="124"/>
      <c r="E7" s="124"/>
      <c r="F7" s="131"/>
    </row>
    <row r="8" ht="37.5" customHeight="1" spans="1:6">
      <c r="A8" s="114" t="s">
        <v>80</v>
      </c>
      <c r="B8" s="115" t="s">
        <v>81</v>
      </c>
      <c r="C8" s="116">
        <v>5520000</v>
      </c>
      <c r="D8" s="117">
        <f>1386659.3+14733.98+6990.95</f>
        <v>1408384.23</v>
      </c>
      <c r="E8" s="130">
        <f>C8-D8</f>
        <v>4111615.77</v>
      </c>
      <c r="F8" s="131">
        <f t="shared" si="0"/>
        <v>25.5142070652174</v>
      </c>
    </row>
    <row r="9" ht="34.5" spans="1:6">
      <c r="A9" s="114" t="s">
        <v>82</v>
      </c>
      <c r="B9" s="115" t="s">
        <v>83</v>
      </c>
      <c r="C9" s="116">
        <v>4590000</v>
      </c>
      <c r="D9" s="117">
        <f>2346061.77+11919.03</f>
        <v>2357980.8</v>
      </c>
      <c r="E9" s="130">
        <f>C9-D9</f>
        <v>2232019.2</v>
      </c>
      <c r="F9" s="131">
        <f t="shared" si="0"/>
        <v>51.3721307189542</v>
      </c>
    </row>
    <row r="10" ht="23.25" spans="1:6">
      <c r="A10" s="114" t="s">
        <v>147</v>
      </c>
      <c r="B10" s="115" t="s">
        <v>85</v>
      </c>
      <c r="C10" s="116">
        <v>0</v>
      </c>
      <c r="D10" s="117">
        <f>784.77+612.72</f>
        <v>1397.49</v>
      </c>
      <c r="E10" s="130">
        <f>C10-D10</f>
        <v>-1397.49</v>
      </c>
      <c r="F10" s="131" t="e">
        <f t="shared" si="0"/>
        <v>#DIV/0!</v>
      </c>
    </row>
    <row r="11" ht="21" spans="1:6">
      <c r="A11" s="118" t="s">
        <v>86</v>
      </c>
      <c r="B11" s="119" t="s">
        <v>87</v>
      </c>
      <c r="C11" s="120">
        <f>SUM(C13:C15)</f>
        <v>2308000</v>
      </c>
      <c r="D11" s="121">
        <f>SUM(D13:D15)</f>
        <v>529982.33</v>
      </c>
      <c r="E11" s="121">
        <f>SUM(E13:E15)</f>
        <v>1778017.67</v>
      </c>
      <c r="F11" s="156">
        <f t="shared" si="0"/>
        <v>22.962839254766</v>
      </c>
    </row>
    <row r="12" ht="15.75" customHeight="1" spans="1:6">
      <c r="A12" s="114"/>
      <c r="B12" s="122" t="s">
        <v>79</v>
      </c>
      <c r="C12" s="123"/>
      <c r="D12" s="124"/>
      <c r="E12" s="124"/>
      <c r="F12" s="158"/>
    </row>
    <row r="13" ht="38.25" customHeight="1" spans="1:6">
      <c r="A13" s="114" t="s">
        <v>88</v>
      </c>
      <c r="B13" s="115" t="s">
        <v>89</v>
      </c>
      <c r="C13" s="116">
        <v>1300000</v>
      </c>
      <c r="D13" s="125">
        <v>0</v>
      </c>
      <c r="E13" s="130">
        <f t="shared" ref="E13:E22" si="1">C13-D13</f>
        <v>1300000</v>
      </c>
      <c r="F13" s="131">
        <f t="shared" si="0"/>
        <v>0</v>
      </c>
    </row>
    <row r="14" ht="48" customHeight="1" spans="1:6">
      <c r="A14" s="114" t="s">
        <v>90</v>
      </c>
      <c r="B14" s="115" t="s">
        <v>91</v>
      </c>
      <c r="C14" s="116">
        <v>968000</v>
      </c>
      <c r="D14" s="126">
        <v>525185.03</v>
      </c>
      <c r="E14" s="130">
        <f t="shared" si="1"/>
        <v>442814.97</v>
      </c>
      <c r="F14" s="131">
        <f t="shared" si="0"/>
        <v>54.2546518595041</v>
      </c>
    </row>
    <row r="15" ht="43.5" customHeight="1" spans="1:6">
      <c r="A15" s="114" t="s">
        <v>92</v>
      </c>
      <c r="B15" s="115" t="s">
        <v>93</v>
      </c>
      <c r="C15" s="116">
        <v>40000</v>
      </c>
      <c r="D15" s="113">
        <v>4797.3</v>
      </c>
      <c r="E15" s="130">
        <f t="shared" si="1"/>
        <v>35202.7</v>
      </c>
      <c r="F15" s="131">
        <f t="shared" si="0"/>
        <v>11.99325</v>
      </c>
    </row>
    <row r="16" ht="36" customHeight="1" spans="1:6">
      <c r="A16" s="114" t="s">
        <v>94</v>
      </c>
      <c r="B16" s="122" t="s">
        <v>95</v>
      </c>
      <c r="C16" s="128">
        <v>50000</v>
      </c>
      <c r="D16" s="129">
        <v>23573.7</v>
      </c>
      <c r="E16" s="130">
        <f t="shared" si="1"/>
        <v>26426.3</v>
      </c>
      <c r="F16" s="131">
        <f t="shared" si="0"/>
        <v>47.1474</v>
      </c>
    </row>
    <row r="17" ht="33.75" customHeight="1" spans="1:6">
      <c r="A17" s="114" t="s">
        <v>96</v>
      </c>
      <c r="B17" s="10" t="s">
        <v>97</v>
      </c>
      <c r="C17" s="134">
        <v>5923000</v>
      </c>
      <c r="D17" s="174">
        <f>11759269.46+704191.13</f>
        <v>12463460.59</v>
      </c>
      <c r="E17" s="130">
        <f t="shared" si="1"/>
        <v>-6540460.59</v>
      </c>
      <c r="F17" s="131">
        <f t="shared" si="0"/>
        <v>210.424794698632</v>
      </c>
    </row>
    <row r="18" ht="55.5" customHeight="1" spans="1:6">
      <c r="A18" s="114" t="s">
        <v>98</v>
      </c>
      <c r="B18" s="127" t="s">
        <v>99</v>
      </c>
      <c r="C18" s="128">
        <v>0</v>
      </c>
      <c r="D18" s="129">
        <v>2500</v>
      </c>
      <c r="E18" s="130">
        <f t="shared" si="1"/>
        <v>-2500</v>
      </c>
      <c r="F18" s="131" t="e">
        <f t="shared" si="0"/>
        <v>#DIV/0!</v>
      </c>
    </row>
    <row r="19" ht="24.75" customHeight="1" spans="1:6">
      <c r="A19" s="114" t="s">
        <v>100</v>
      </c>
      <c r="B19" s="127" t="s">
        <v>101</v>
      </c>
      <c r="C19" s="128">
        <v>0</v>
      </c>
      <c r="D19" s="129">
        <v>0</v>
      </c>
      <c r="E19" s="130">
        <f t="shared" si="1"/>
        <v>0</v>
      </c>
      <c r="F19" s="131" t="e">
        <f t="shared" si="0"/>
        <v>#DIV/0!</v>
      </c>
    </row>
    <row r="20" ht="28.5" customHeight="1" spans="1:6">
      <c r="A20" s="114" t="s">
        <v>148</v>
      </c>
      <c r="B20" s="127" t="s">
        <v>149</v>
      </c>
      <c r="C20" s="128">
        <v>0</v>
      </c>
      <c r="D20" s="129">
        <v>30930</v>
      </c>
      <c r="E20" s="130">
        <f t="shared" si="1"/>
        <v>-30930</v>
      </c>
      <c r="F20" s="131" t="e">
        <f t="shared" ref="F20" si="2">D20/C20*100</f>
        <v>#DIV/0!</v>
      </c>
    </row>
    <row r="21" ht="33.75" customHeight="1" spans="1:6">
      <c r="A21" s="114" t="s">
        <v>103</v>
      </c>
      <c r="B21" s="127" t="s">
        <v>104</v>
      </c>
      <c r="C21" s="128">
        <v>0</v>
      </c>
      <c r="D21" s="129">
        <v>0</v>
      </c>
      <c r="E21" s="130">
        <f t="shared" si="1"/>
        <v>0</v>
      </c>
      <c r="F21" s="131" t="e">
        <f t="shared" si="0"/>
        <v>#DIV/0!</v>
      </c>
    </row>
    <row r="22" ht="37.5" customHeight="1" spans="1:6">
      <c r="A22" s="114" t="s">
        <v>105</v>
      </c>
      <c r="B22" s="127" t="s">
        <v>106</v>
      </c>
      <c r="C22" s="128">
        <v>0</v>
      </c>
      <c r="D22" s="129">
        <v>7562.6</v>
      </c>
      <c r="E22" s="130">
        <f t="shared" si="1"/>
        <v>-7562.6</v>
      </c>
      <c r="F22" s="131" t="e">
        <f t="shared" si="0"/>
        <v>#DIV/0!</v>
      </c>
    </row>
    <row r="23" ht="15.75" customHeight="1" spans="1:6">
      <c r="A23" s="132" t="s">
        <v>109</v>
      </c>
      <c r="B23" s="133"/>
      <c r="C23" s="134">
        <f>C17+C16+C11+C6+C5+C4+C3</f>
        <v>25573000</v>
      </c>
      <c r="D23" s="174">
        <f>D17+D16+D11+D6+D5+D4+D3+D18+D19+D20+D21+D22</f>
        <v>20123170.07</v>
      </c>
      <c r="E23" s="174">
        <f t="shared" ref="E23" si="3">SUM(E3:E22)</f>
        <v>13571482.57</v>
      </c>
      <c r="F23" s="131">
        <f t="shared" si="0"/>
        <v>78.6891255230125</v>
      </c>
    </row>
    <row r="24" s="167" customFormat="1" ht="47.25" customHeight="1" spans="1:6">
      <c r="A24" s="114" t="s">
        <v>107</v>
      </c>
      <c r="B24" s="199" t="s">
        <v>108</v>
      </c>
      <c r="C24" s="116">
        <v>-335.41</v>
      </c>
      <c r="D24" s="117">
        <v>-335.41</v>
      </c>
      <c r="E24" s="177">
        <f>C24-D24</f>
        <v>0</v>
      </c>
      <c r="F24" s="178">
        <f t="shared" si="0"/>
        <v>100</v>
      </c>
    </row>
    <row r="25" ht="16.5" spans="1:6">
      <c r="A25" s="71" t="s">
        <v>110</v>
      </c>
      <c r="B25" s="15" t="s">
        <v>111</v>
      </c>
      <c r="C25" s="176">
        <f>646000+295300+7500+246000</f>
        <v>1194800</v>
      </c>
      <c r="D25" s="200">
        <f>646000+295300+3750+246000</f>
        <v>1191050</v>
      </c>
      <c r="E25" s="130">
        <f>C25-D25</f>
        <v>3750</v>
      </c>
      <c r="F25" s="131">
        <f t="shared" si="0"/>
        <v>99.6861399397389</v>
      </c>
    </row>
    <row r="26" ht="16.5" spans="1:6">
      <c r="A26" s="132" t="s">
        <v>112</v>
      </c>
      <c r="B26" s="133"/>
      <c r="C26" s="134">
        <f>C23+C24+C25</f>
        <v>26767464.59</v>
      </c>
      <c r="D26" s="174">
        <f>D23+D24+D25</f>
        <v>21313884.66</v>
      </c>
      <c r="E26" s="174">
        <f>E23+E24+E25</f>
        <v>13575232.57</v>
      </c>
      <c r="F26" s="131">
        <f t="shared" si="0"/>
        <v>79.6260870667691</v>
      </c>
    </row>
    <row r="27" ht="28.5" customHeight="1" spans="1:6">
      <c r="A27" s="132" t="s">
        <v>113</v>
      </c>
      <c r="B27" s="133"/>
      <c r="C27" s="134">
        <f>C26</f>
        <v>26767464.59</v>
      </c>
      <c r="D27" s="174">
        <f t="shared" ref="D27:E27" si="4">D26</f>
        <v>21313884.66</v>
      </c>
      <c r="E27" s="174">
        <f t="shared" si="4"/>
        <v>13575232.57</v>
      </c>
      <c r="F27" s="131">
        <f t="shared" si="0"/>
        <v>79.6260870667691</v>
      </c>
    </row>
    <row r="34" hidden="1" customHeight="1"/>
  </sheetData>
  <mergeCells count="16">
    <mergeCell ref="A23:B23"/>
    <mergeCell ref="A26:B26"/>
    <mergeCell ref="A27:B27"/>
    <mergeCell ref="A1:A2"/>
    <mergeCell ref="A6:A7"/>
    <mergeCell ref="A11:A12"/>
    <mergeCell ref="B1:B2"/>
    <mergeCell ref="C1:C2"/>
    <mergeCell ref="C6:C7"/>
    <mergeCell ref="C11:C12"/>
    <mergeCell ref="D1:D2"/>
    <mergeCell ref="D6:D7"/>
    <mergeCell ref="D11:D12"/>
    <mergeCell ref="E6:E7"/>
    <mergeCell ref="E11:E12"/>
    <mergeCell ref="F11:F12"/>
  </mergeCells>
  <pageMargins left="0.511811023622047" right="0.511811023622047" top="0.15748031496063" bottom="0" header="0.31496062992126" footer="0.31496062992126"/>
  <pageSetup paperSize="9" scale="7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A1" sqref="$A1:$XFD1048576"/>
    </sheetView>
  </sheetViews>
  <sheetFormatPr defaultColWidth="9" defaultRowHeight="15" outlineLevelCol="6"/>
  <cols>
    <col min="1" max="1" width="10.5714285714286" customWidth="1"/>
    <col min="2" max="2" width="36" style="2" customWidth="1"/>
    <col min="3" max="3" width="19.7142857142857" style="3" customWidth="1"/>
    <col min="4" max="4" width="20.4285714285714" style="3" customWidth="1"/>
    <col min="5" max="5" width="17.5714285714286" style="3" customWidth="1"/>
    <col min="6" max="6" width="10.1428571428571" style="3" customWidth="1"/>
    <col min="7" max="7" width="5.71428571428571" customWidth="1"/>
  </cols>
  <sheetData>
    <row r="1" ht="64.5" spans="1:6">
      <c r="A1" s="4" t="s">
        <v>115</v>
      </c>
      <c r="B1" s="5" t="s">
        <v>116</v>
      </c>
      <c r="C1" s="6" t="s">
        <v>66</v>
      </c>
      <c r="D1" s="6" t="s">
        <v>67</v>
      </c>
      <c r="E1" s="7" t="s">
        <v>117</v>
      </c>
      <c r="F1" s="13" t="s">
        <v>118</v>
      </c>
    </row>
    <row r="2" ht="16.5" spans="1:6">
      <c r="A2" s="9">
        <v>100</v>
      </c>
      <c r="B2" s="10" t="s">
        <v>119</v>
      </c>
      <c r="C2" s="29">
        <f>SUM(C3:C6)</f>
        <v>13123143</v>
      </c>
      <c r="D2" s="29">
        <f>SUM(D3:D6)</f>
        <v>5266838.83</v>
      </c>
      <c r="E2" s="30">
        <f>D2-C2</f>
        <v>-7856304.17</v>
      </c>
      <c r="F2" s="13">
        <f>D2/C2*100</f>
        <v>40.1339742316303</v>
      </c>
    </row>
    <row r="3" ht="23.25" spans="1:6">
      <c r="A3" s="14">
        <v>102</v>
      </c>
      <c r="B3" s="15" t="s">
        <v>120</v>
      </c>
      <c r="C3" s="16">
        <f>639410+193040</f>
        <v>832450</v>
      </c>
      <c r="D3" s="16">
        <v>311847.3</v>
      </c>
      <c r="E3" s="30">
        <f t="shared" ref="E3:E35" si="0">D3-C3</f>
        <v>-520602.7</v>
      </c>
      <c r="F3" s="13">
        <f>D3/C3*100</f>
        <v>37.4613850681723</v>
      </c>
    </row>
    <row r="4" ht="45.75" spans="1:6">
      <c r="A4" s="14">
        <v>104</v>
      </c>
      <c r="B4" s="15" t="s">
        <v>10</v>
      </c>
      <c r="C4" s="16">
        <v>5184350</v>
      </c>
      <c r="D4" s="16">
        <v>2012915.98</v>
      </c>
      <c r="E4" s="30">
        <f t="shared" si="0"/>
        <v>-3171434.02</v>
      </c>
      <c r="F4" s="13">
        <f>D4/C4*100</f>
        <v>38.826776355763</v>
      </c>
    </row>
    <row r="5" ht="16.5" spans="1:6">
      <c r="A5" s="14">
        <v>111</v>
      </c>
      <c r="B5" s="15" t="s">
        <v>12</v>
      </c>
      <c r="C5" s="16">
        <v>50000</v>
      </c>
      <c r="D5" s="16">
        <v>0</v>
      </c>
      <c r="E5" s="30">
        <f t="shared" si="0"/>
        <v>-50000</v>
      </c>
      <c r="F5" s="13">
        <f t="shared" ref="F5:F35" si="1">D5/C5*100</f>
        <v>0</v>
      </c>
    </row>
    <row r="6" ht="16.5" spans="1:6">
      <c r="A6" s="14">
        <v>113</v>
      </c>
      <c r="B6" s="15" t="s">
        <v>121</v>
      </c>
      <c r="C6" s="16">
        <v>7056343</v>
      </c>
      <c r="D6" s="23">
        <v>2942075.55</v>
      </c>
      <c r="E6" s="30">
        <f t="shared" si="0"/>
        <v>-4114267.45</v>
      </c>
      <c r="F6" s="13">
        <f t="shared" si="1"/>
        <v>41.69405526347</v>
      </c>
    </row>
    <row r="7" ht="16.5" spans="1:6">
      <c r="A7" s="9">
        <v>200</v>
      </c>
      <c r="B7" s="10" t="s">
        <v>122</v>
      </c>
      <c r="C7" s="29">
        <f>C8</f>
        <v>295300</v>
      </c>
      <c r="D7" s="29">
        <f>D8</f>
        <v>125269.37</v>
      </c>
      <c r="E7" s="30">
        <f t="shared" si="0"/>
        <v>-170030.63</v>
      </c>
      <c r="F7" s="13">
        <f t="shared" si="1"/>
        <v>42.4210531662716</v>
      </c>
    </row>
    <row r="8" ht="16.5" spans="1:6">
      <c r="A8" s="14">
        <v>203</v>
      </c>
      <c r="B8" s="15" t="s">
        <v>123</v>
      </c>
      <c r="C8" s="16">
        <v>295300</v>
      </c>
      <c r="D8" s="16">
        <v>125269.37</v>
      </c>
      <c r="E8" s="30">
        <f t="shared" si="0"/>
        <v>-170030.63</v>
      </c>
      <c r="F8" s="13">
        <f t="shared" si="1"/>
        <v>42.4210531662716</v>
      </c>
    </row>
    <row r="9" ht="21.75" spans="1:6">
      <c r="A9" s="9">
        <v>300</v>
      </c>
      <c r="B9" s="10" t="s">
        <v>124</v>
      </c>
      <c r="C9" s="29">
        <f>SUM(C10:C11)</f>
        <v>728000</v>
      </c>
      <c r="D9" s="29">
        <f>SUM(D10:D11)</f>
        <v>4929.91</v>
      </c>
      <c r="E9" s="30">
        <f t="shared" si="0"/>
        <v>-723070.09</v>
      </c>
      <c r="F9" s="13">
        <f t="shared" si="1"/>
        <v>0.67718543956044</v>
      </c>
    </row>
    <row r="10" ht="34.5" spans="1:6">
      <c r="A10" s="14">
        <v>309</v>
      </c>
      <c r="B10" s="25" t="s">
        <v>125</v>
      </c>
      <c r="C10" s="26">
        <v>663000</v>
      </c>
      <c r="D10" s="16">
        <v>0</v>
      </c>
      <c r="E10" s="30">
        <f t="shared" si="0"/>
        <v>-663000</v>
      </c>
      <c r="F10" s="13">
        <f t="shared" si="1"/>
        <v>0</v>
      </c>
    </row>
    <row r="11" ht="23.25" spans="1:6">
      <c r="A11" s="14">
        <v>314</v>
      </c>
      <c r="B11" s="27" t="s">
        <v>126</v>
      </c>
      <c r="C11" s="16">
        <v>65000</v>
      </c>
      <c r="D11" s="16">
        <v>4929.91</v>
      </c>
      <c r="E11" s="30">
        <f t="shared" si="0"/>
        <v>-60070.09</v>
      </c>
      <c r="F11" s="13">
        <f t="shared" si="1"/>
        <v>7.58447692307692</v>
      </c>
    </row>
    <row r="12" ht="16.5" spans="1:6">
      <c r="A12" s="9">
        <v>400</v>
      </c>
      <c r="B12" s="28" t="s">
        <v>127</v>
      </c>
      <c r="C12" s="29">
        <f>SUM(C13:C14)</f>
        <v>969900</v>
      </c>
      <c r="D12" s="29">
        <f>SUM(D13:D14)</f>
        <v>0</v>
      </c>
      <c r="E12" s="30">
        <f t="shared" si="0"/>
        <v>-969900</v>
      </c>
      <c r="F12" s="13">
        <f t="shared" si="1"/>
        <v>0</v>
      </c>
    </row>
    <row r="13" ht="16.5" spans="1:6">
      <c r="A13" s="14">
        <v>409</v>
      </c>
      <c r="B13" s="15" t="s">
        <v>27</v>
      </c>
      <c r="C13" s="16">
        <v>639900</v>
      </c>
      <c r="D13" s="16">
        <v>0</v>
      </c>
      <c r="E13" s="30">
        <f t="shared" si="0"/>
        <v>-639900</v>
      </c>
      <c r="F13" s="13">
        <f t="shared" si="1"/>
        <v>0</v>
      </c>
    </row>
    <row r="14" ht="23.25" spans="1:6">
      <c r="A14" s="14">
        <v>412</v>
      </c>
      <c r="B14" s="15" t="s">
        <v>128</v>
      </c>
      <c r="C14" s="16">
        <v>330000</v>
      </c>
      <c r="D14" s="16">
        <v>0</v>
      </c>
      <c r="E14" s="30">
        <f t="shared" si="0"/>
        <v>-330000</v>
      </c>
      <c r="F14" s="13">
        <f t="shared" si="1"/>
        <v>0</v>
      </c>
    </row>
    <row r="15" ht="16.5" spans="1:7">
      <c r="A15" s="9">
        <v>500</v>
      </c>
      <c r="B15" s="10" t="s">
        <v>129</v>
      </c>
      <c r="C15" s="29">
        <f>SUM(C16:C17)</f>
        <v>2448664.59</v>
      </c>
      <c r="D15" s="29">
        <f>SUM(D16:D17)</f>
        <v>1795698.49</v>
      </c>
      <c r="E15" s="30">
        <f t="shared" si="0"/>
        <v>-652966.1</v>
      </c>
      <c r="F15" s="13">
        <f t="shared" si="1"/>
        <v>73.3337876217665</v>
      </c>
      <c r="G15">
        <f>D15/D35*100</f>
        <v>15.9922236849677</v>
      </c>
    </row>
    <row r="16" ht="16.5" spans="1:6">
      <c r="A16" s="14">
        <v>502</v>
      </c>
      <c r="B16" s="15" t="s">
        <v>31</v>
      </c>
      <c r="C16" s="16">
        <v>100000</v>
      </c>
      <c r="D16" s="16">
        <v>0</v>
      </c>
      <c r="E16" s="30">
        <f t="shared" si="0"/>
        <v>-100000</v>
      </c>
      <c r="F16" s="13">
        <f t="shared" si="1"/>
        <v>0</v>
      </c>
    </row>
    <row r="17" ht="16.5" spans="1:6">
      <c r="A17" s="14">
        <v>503</v>
      </c>
      <c r="B17" s="15" t="s">
        <v>33</v>
      </c>
      <c r="C17" s="16">
        <v>2348664.59</v>
      </c>
      <c r="D17" s="16">
        <v>1795698.49</v>
      </c>
      <c r="E17" s="30">
        <f t="shared" si="0"/>
        <v>-552966.1</v>
      </c>
      <c r="F17" s="13">
        <f t="shared" si="1"/>
        <v>76.4561486406196</v>
      </c>
    </row>
    <row r="18" ht="16.5" spans="1:6">
      <c r="A18" s="9">
        <v>700</v>
      </c>
      <c r="B18" s="10" t="s">
        <v>130</v>
      </c>
      <c r="C18" s="29">
        <f>C19</f>
        <v>100000</v>
      </c>
      <c r="D18" s="29">
        <v>0</v>
      </c>
      <c r="E18" s="30">
        <f t="shared" si="0"/>
        <v>-100000</v>
      </c>
      <c r="F18" s="13">
        <f t="shared" si="1"/>
        <v>0</v>
      </c>
    </row>
    <row r="19" ht="16.5" spans="1:6">
      <c r="A19" s="14">
        <v>707</v>
      </c>
      <c r="B19" s="15" t="s">
        <v>35</v>
      </c>
      <c r="C19" s="16">
        <v>100000</v>
      </c>
      <c r="D19" s="16">
        <v>0</v>
      </c>
      <c r="E19" s="30">
        <f t="shared" si="0"/>
        <v>-100000</v>
      </c>
      <c r="F19" s="13">
        <f t="shared" si="1"/>
        <v>0</v>
      </c>
    </row>
    <row r="20" ht="16.5" spans="1:7">
      <c r="A20" s="9">
        <v>800</v>
      </c>
      <c r="B20" s="10" t="s">
        <v>131</v>
      </c>
      <c r="C20" s="29">
        <f>SUM(C21:C22)</f>
        <v>7235057</v>
      </c>
      <c r="D20" s="29">
        <f>SUM(D21:D22)</f>
        <v>3227105.32</v>
      </c>
      <c r="E20" s="30">
        <f t="shared" si="0"/>
        <v>-4007951.68</v>
      </c>
      <c r="F20" s="13">
        <f t="shared" si="1"/>
        <v>44.6037304198156</v>
      </c>
      <c r="G20">
        <f>D20/D35*100</f>
        <v>28.7401200256004</v>
      </c>
    </row>
    <row r="21" ht="16.5" spans="1:6">
      <c r="A21" s="14">
        <v>801</v>
      </c>
      <c r="B21" s="15" t="s">
        <v>132</v>
      </c>
      <c r="C21" s="16">
        <v>6935057</v>
      </c>
      <c r="D21" s="16">
        <v>3123056.02</v>
      </c>
      <c r="E21" s="30">
        <f t="shared" si="0"/>
        <v>-3812000.98</v>
      </c>
      <c r="F21" s="13">
        <f t="shared" si="1"/>
        <v>45.0328817773235</v>
      </c>
    </row>
    <row r="22" ht="16.5" spans="1:6">
      <c r="A22" s="14">
        <v>804</v>
      </c>
      <c r="B22" s="15" t="s">
        <v>133</v>
      </c>
      <c r="C22" s="16">
        <v>300000</v>
      </c>
      <c r="D22" s="16">
        <v>104049.3</v>
      </c>
      <c r="E22" s="30">
        <f t="shared" si="0"/>
        <v>-195950.7</v>
      </c>
      <c r="F22" s="13">
        <f t="shared" si="1"/>
        <v>34.6831</v>
      </c>
    </row>
    <row r="23" ht="16.5" spans="1:6">
      <c r="A23" s="9">
        <v>1000</v>
      </c>
      <c r="B23" s="10" t="s">
        <v>134</v>
      </c>
      <c r="C23" s="29">
        <f>C24</f>
        <v>60000</v>
      </c>
      <c r="D23" s="29">
        <f>D24</f>
        <v>0</v>
      </c>
      <c r="E23" s="30">
        <f t="shared" si="0"/>
        <v>-60000</v>
      </c>
      <c r="F23" s="13">
        <f t="shared" si="1"/>
        <v>0</v>
      </c>
    </row>
    <row r="24" ht="16.5" spans="1:6">
      <c r="A24" s="14">
        <v>1003</v>
      </c>
      <c r="B24" s="15" t="s">
        <v>135</v>
      </c>
      <c r="C24" s="16">
        <v>60000</v>
      </c>
      <c r="D24" s="16">
        <v>0</v>
      </c>
      <c r="E24" s="30">
        <f t="shared" si="0"/>
        <v>-60000</v>
      </c>
      <c r="F24" s="13">
        <f t="shared" si="1"/>
        <v>0</v>
      </c>
    </row>
    <row r="25" ht="16.5" spans="1:6">
      <c r="A25" s="9">
        <v>1100</v>
      </c>
      <c r="B25" s="10" t="s">
        <v>136</v>
      </c>
      <c r="C25" s="29">
        <f>C26+C27</f>
        <v>1695800</v>
      </c>
      <c r="D25" s="29">
        <f>D26+D27</f>
        <v>641346.56</v>
      </c>
      <c r="E25" s="30">
        <f t="shared" si="0"/>
        <v>-1054453.44</v>
      </c>
      <c r="F25" s="13">
        <f t="shared" si="1"/>
        <v>37.8197051539097</v>
      </c>
    </row>
    <row r="26" ht="16.5" spans="1:6">
      <c r="A26" s="14">
        <v>1101</v>
      </c>
      <c r="B26" s="15" t="s">
        <v>137</v>
      </c>
      <c r="C26" s="16">
        <v>1620800</v>
      </c>
      <c r="D26" s="16">
        <v>596631.43</v>
      </c>
      <c r="E26" s="30">
        <f t="shared" si="0"/>
        <v>-1024168.57</v>
      </c>
      <c r="F26" s="13">
        <f t="shared" si="1"/>
        <v>36.8109223840079</v>
      </c>
    </row>
    <row r="27" ht="16.5" spans="1:6">
      <c r="A27" s="14">
        <v>1102</v>
      </c>
      <c r="B27" s="15" t="s">
        <v>150</v>
      </c>
      <c r="C27" s="32">
        <v>75000</v>
      </c>
      <c r="D27" s="32">
        <v>44715.13</v>
      </c>
      <c r="E27" s="30">
        <f t="shared" si="0"/>
        <v>-30284.87</v>
      </c>
      <c r="F27" s="13">
        <f t="shared" si="1"/>
        <v>59.6201733333333</v>
      </c>
    </row>
    <row r="28" ht="16.5" spans="1:6">
      <c r="A28" s="14">
        <v>1200</v>
      </c>
      <c r="B28" s="10" t="s">
        <v>138</v>
      </c>
      <c r="C28" s="190">
        <f>C29+C30</f>
        <v>90000</v>
      </c>
      <c r="D28" s="190">
        <f>D29+D30</f>
        <v>61542</v>
      </c>
      <c r="E28" s="30">
        <f t="shared" si="0"/>
        <v>-28458</v>
      </c>
      <c r="F28" s="13">
        <f t="shared" si="1"/>
        <v>68.38</v>
      </c>
    </row>
    <row r="29" ht="16.5" spans="1:6">
      <c r="A29" s="14">
        <v>1202</v>
      </c>
      <c r="B29" s="18" t="s">
        <v>139</v>
      </c>
      <c r="C29" s="32">
        <v>9000</v>
      </c>
      <c r="D29" s="191">
        <v>9000</v>
      </c>
      <c r="E29" s="30">
        <f t="shared" si="0"/>
        <v>0</v>
      </c>
      <c r="F29" s="13">
        <f t="shared" si="1"/>
        <v>100</v>
      </c>
    </row>
    <row r="30" ht="23.25" spans="1:6">
      <c r="A30" s="192">
        <v>1204</v>
      </c>
      <c r="B30" s="22" t="s">
        <v>151</v>
      </c>
      <c r="C30" s="193">
        <v>81000</v>
      </c>
      <c r="D30" s="194">
        <v>52542</v>
      </c>
      <c r="E30" s="30">
        <f t="shared" si="0"/>
        <v>-28458</v>
      </c>
      <c r="F30" s="13">
        <f t="shared" si="1"/>
        <v>64.8666666666667</v>
      </c>
    </row>
    <row r="31" ht="16.5" spans="1:6">
      <c r="A31" s="195" t="s">
        <v>140</v>
      </c>
      <c r="B31" s="196" t="s">
        <v>141</v>
      </c>
      <c r="C31" s="197">
        <f>C33</f>
        <v>222037.11</v>
      </c>
      <c r="D31" s="198">
        <f>D33</f>
        <v>105842.39</v>
      </c>
      <c r="E31" s="30">
        <f t="shared" si="0"/>
        <v>-116194.72</v>
      </c>
      <c r="F31" s="13">
        <f t="shared" si="1"/>
        <v>47.6687838352787</v>
      </c>
    </row>
    <row r="32" ht="16.5" spans="1:6">
      <c r="A32" s="9"/>
      <c r="B32" s="10" t="s">
        <v>142</v>
      </c>
      <c r="C32" s="54"/>
      <c r="D32" s="54"/>
      <c r="E32" s="30">
        <f t="shared" si="0"/>
        <v>0</v>
      </c>
      <c r="F32" s="13"/>
    </row>
    <row r="33" ht="16.5" spans="1:6">
      <c r="A33" s="55" t="s">
        <v>143</v>
      </c>
      <c r="B33" s="56" t="s">
        <v>144</v>
      </c>
      <c r="C33" s="57">
        <v>222037.11</v>
      </c>
      <c r="D33" s="57">
        <v>105842.39</v>
      </c>
      <c r="E33" s="30">
        <f t="shared" si="0"/>
        <v>-116194.72</v>
      </c>
      <c r="F33" s="13">
        <f t="shared" si="1"/>
        <v>47.6687838352787</v>
      </c>
    </row>
    <row r="34" ht="16.5" spans="1:6">
      <c r="A34" s="14"/>
      <c r="B34" s="15" t="s">
        <v>145</v>
      </c>
      <c r="C34" s="26"/>
      <c r="D34" s="26"/>
      <c r="E34" s="30">
        <f t="shared" si="0"/>
        <v>0</v>
      </c>
      <c r="F34" s="13"/>
    </row>
    <row r="35" ht="16.5" spans="1:6">
      <c r="A35" s="9">
        <v>9800</v>
      </c>
      <c r="B35" s="10" t="s">
        <v>146</v>
      </c>
      <c r="C35" s="29">
        <f>C31+C28+C25+C23+C20+C18+C15+C12+C9+C7+C2</f>
        <v>26967901.7</v>
      </c>
      <c r="D35" s="29">
        <f>D31+D28+D25+D23+D20+D18+D15+D12+D9+D7+D2</f>
        <v>11228572.87</v>
      </c>
      <c r="E35" s="30">
        <f t="shared" si="0"/>
        <v>-15739328.83</v>
      </c>
      <c r="F35" s="13">
        <f t="shared" si="1"/>
        <v>41.6368058401815</v>
      </c>
    </row>
  </sheetData>
  <mergeCells count="6">
    <mergeCell ref="A31:A32"/>
    <mergeCell ref="A33:A34"/>
    <mergeCell ref="C31:C32"/>
    <mergeCell ref="C33:C34"/>
    <mergeCell ref="D31:D32"/>
    <mergeCell ref="D33:D34"/>
  </mergeCells>
  <pageMargins left="0.7" right="0.7" top="0.75" bottom="0.75" header="0.3" footer="0.3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9" workbookViewId="0">
      <selection activeCell="E23" sqref="E23"/>
    </sheetView>
  </sheetViews>
  <sheetFormatPr defaultColWidth="9" defaultRowHeight="15" outlineLevelCol="5"/>
  <cols>
    <col min="1" max="1" width="19.4285714285714" customWidth="1"/>
    <col min="2" max="2" width="32.1428571428571" style="2" customWidth="1"/>
    <col min="3" max="3" width="21.2857142857143" style="63" customWidth="1"/>
    <col min="4" max="4" width="19.5714285714286" style="3" customWidth="1"/>
    <col min="5" max="5" width="17.5714285714286" style="3" customWidth="1"/>
    <col min="6" max="6" width="11" customWidth="1"/>
  </cols>
  <sheetData>
    <row r="1" ht="60.75" customHeight="1" spans="1:6">
      <c r="A1" s="64" t="s">
        <v>64</v>
      </c>
      <c r="B1" s="65" t="s">
        <v>65</v>
      </c>
      <c r="C1" s="66" t="s">
        <v>66</v>
      </c>
      <c r="D1" s="67" t="s">
        <v>67</v>
      </c>
      <c r="E1" s="68" t="s">
        <v>68</v>
      </c>
      <c r="F1" s="69" t="s">
        <v>69</v>
      </c>
    </row>
    <row r="2" ht="15.75" spans="1:6">
      <c r="A2" s="70"/>
      <c r="B2" s="71"/>
      <c r="C2" s="72"/>
      <c r="D2" s="73"/>
      <c r="E2" s="74" t="s">
        <v>70</v>
      </c>
      <c r="F2" s="69"/>
    </row>
    <row r="3" ht="38.25" customHeight="1" spans="1:6">
      <c r="A3" s="114" t="s">
        <v>71</v>
      </c>
      <c r="B3" s="122" t="s">
        <v>72</v>
      </c>
      <c r="C3" s="128">
        <v>6000000</v>
      </c>
      <c r="D3" s="129">
        <f>1660971.92+7768.54+420.68+2340</f>
        <v>1671501.14</v>
      </c>
      <c r="E3" s="130">
        <f>C3-D3</f>
        <v>4328498.86</v>
      </c>
      <c r="F3" s="131">
        <f>D3/C3*100</f>
        <v>27.8583523333333</v>
      </c>
    </row>
    <row r="4" ht="25.5" customHeight="1" spans="1:6">
      <c r="A4" s="114" t="s">
        <v>73</v>
      </c>
      <c r="B4" s="122" t="s">
        <v>74</v>
      </c>
      <c r="C4" s="128">
        <v>810000</v>
      </c>
      <c r="D4" s="129">
        <v>549345.5</v>
      </c>
      <c r="E4" s="130">
        <f>C4-D4</f>
        <v>260654.5</v>
      </c>
      <c r="F4" s="131">
        <f>D4/C4*100</f>
        <v>67.8204320987654</v>
      </c>
    </row>
    <row r="5" ht="19.5" customHeight="1" spans="1:6">
      <c r="A5" s="114" t="s">
        <v>75</v>
      </c>
      <c r="B5" s="122" t="s">
        <v>76</v>
      </c>
      <c r="C5" s="128">
        <v>974000</v>
      </c>
      <c r="D5" s="129">
        <v>8640.5</v>
      </c>
      <c r="E5" s="130">
        <f>C5-D5</f>
        <v>965359.5</v>
      </c>
      <c r="F5" s="131">
        <f>D5/C5*100</f>
        <v>0.88711498973306</v>
      </c>
    </row>
    <row r="6" ht="13.5" customHeight="1" spans="1:6">
      <c r="A6" s="118" t="s">
        <v>77</v>
      </c>
      <c r="B6" s="119" t="s">
        <v>78</v>
      </c>
      <c r="C6" s="120">
        <f>SUM(C8:C9)</f>
        <v>8682000</v>
      </c>
      <c r="D6" s="121">
        <f>SUM(D8:D10)</f>
        <v>2319408.6</v>
      </c>
      <c r="E6" s="121">
        <f>SUM(E8:E9)</f>
        <v>6362613.72</v>
      </c>
      <c r="F6" s="172">
        <f t="shared" ref="F6:F27" si="0">D6/C6*100</f>
        <v>26.7151416724257</v>
      </c>
    </row>
    <row r="7" ht="13.5" customHeight="1" spans="1:6">
      <c r="A7" s="114"/>
      <c r="B7" s="122" t="s">
        <v>79</v>
      </c>
      <c r="C7" s="123"/>
      <c r="D7" s="124"/>
      <c r="E7" s="124"/>
      <c r="F7" s="173"/>
    </row>
    <row r="8" ht="37.5" customHeight="1" spans="1:6">
      <c r="A8" s="114" t="s">
        <v>80</v>
      </c>
      <c r="B8" s="115" t="s">
        <v>81</v>
      </c>
      <c r="C8" s="116">
        <v>4800000</v>
      </c>
      <c r="D8" s="117">
        <v>411669.17</v>
      </c>
      <c r="E8" s="130">
        <f>C8-D8</f>
        <v>4388330.83</v>
      </c>
      <c r="F8" s="131">
        <f t="shared" si="0"/>
        <v>8.57644104166667</v>
      </c>
    </row>
    <row r="9" ht="34.5" spans="1:6">
      <c r="A9" s="114" t="s">
        <v>82</v>
      </c>
      <c r="B9" s="115" t="s">
        <v>83</v>
      </c>
      <c r="C9" s="116">
        <v>3882000</v>
      </c>
      <c r="D9" s="117">
        <v>1907717.11</v>
      </c>
      <c r="E9" s="130">
        <f>C9-D9</f>
        <v>1974282.89</v>
      </c>
      <c r="F9" s="131">
        <f t="shared" si="0"/>
        <v>49.1426354971664</v>
      </c>
    </row>
    <row r="10" ht="23.25" spans="1:6">
      <c r="A10" s="114" t="s">
        <v>147</v>
      </c>
      <c r="B10" s="115" t="s">
        <v>85</v>
      </c>
      <c r="C10" s="116">
        <v>0</v>
      </c>
      <c r="D10" s="117">
        <v>22.32</v>
      </c>
      <c r="E10" s="130">
        <f>C10-D10</f>
        <v>-22.32</v>
      </c>
      <c r="F10" s="131" t="e">
        <f t="shared" si="0"/>
        <v>#DIV/0!</v>
      </c>
    </row>
    <row r="11" ht="21" spans="1:6">
      <c r="A11" s="118" t="s">
        <v>86</v>
      </c>
      <c r="B11" s="119" t="s">
        <v>87</v>
      </c>
      <c r="C11" s="120">
        <f>SUM(C13:C15)</f>
        <v>2623000</v>
      </c>
      <c r="D11" s="121">
        <f>SUM(D13:D15)</f>
        <v>200062.5</v>
      </c>
      <c r="E11" s="121">
        <f>SUM(E13:E15)</f>
        <v>2422937.5</v>
      </c>
      <c r="F11" s="156">
        <f t="shared" si="0"/>
        <v>7.62723980175372</v>
      </c>
    </row>
    <row r="12" ht="15.75" customHeight="1" spans="1:6">
      <c r="A12" s="114"/>
      <c r="B12" s="122" t="s">
        <v>79</v>
      </c>
      <c r="C12" s="123"/>
      <c r="D12" s="124"/>
      <c r="E12" s="124"/>
      <c r="F12" s="158"/>
    </row>
    <row r="13" ht="38.25" customHeight="1" spans="1:6">
      <c r="A13" s="114" t="s">
        <v>88</v>
      </c>
      <c r="B13" s="115" t="s">
        <v>89</v>
      </c>
      <c r="C13" s="116">
        <v>1450000</v>
      </c>
      <c r="D13" s="125">
        <v>1479.56</v>
      </c>
      <c r="E13" s="130">
        <f t="shared" ref="E13:E22" si="1">C13-D13</f>
        <v>1448520.44</v>
      </c>
      <c r="F13" s="131">
        <f t="shared" si="0"/>
        <v>0.102038620689655</v>
      </c>
    </row>
    <row r="14" ht="48" customHeight="1" spans="1:6">
      <c r="A14" s="114" t="s">
        <v>90</v>
      </c>
      <c r="B14" s="115" t="s">
        <v>91</v>
      </c>
      <c r="C14" s="116">
        <v>970000</v>
      </c>
      <c r="D14" s="126">
        <v>151829.29</v>
      </c>
      <c r="E14" s="130">
        <f t="shared" si="1"/>
        <v>818170.71</v>
      </c>
      <c r="F14" s="131">
        <f t="shared" si="0"/>
        <v>15.6525041237113</v>
      </c>
    </row>
    <row r="15" ht="43.5" customHeight="1" spans="1:6">
      <c r="A15" s="114" t="s">
        <v>92</v>
      </c>
      <c r="B15" s="115" t="s">
        <v>93</v>
      </c>
      <c r="C15" s="116">
        <v>203000</v>
      </c>
      <c r="D15" s="113">
        <v>46753.65</v>
      </c>
      <c r="E15" s="130">
        <f t="shared" si="1"/>
        <v>156246.35</v>
      </c>
      <c r="F15" s="131">
        <f t="shared" si="0"/>
        <v>23.031354679803</v>
      </c>
    </row>
    <row r="16" ht="36" customHeight="1" spans="1:6">
      <c r="A16" s="114" t="s">
        <v>94</v>
      </c>
      <c r="B16" s="122" t="s">
        <v>95</v>
      </c>
      <c r="C16" s="128">
        <v>75000</v>
      </c>
      <c r="D16" s="129">
        <v>1200</v>
      </c>
      <c r="E16" s="130">
        <f t="shared" si="1"/>
        <v>73800</v>
      </c>
      <c r="F16" s="131">
        <f t="shared" si="0"/>
        <v>1.6</v>
      </c>
    </row>
    <row r="17" ht="33.75" customHeight="1" spans="1:6">
      <c r="A17" s="114" t="s">
        <v>96</v>
      </c>
      <c r="B17" s="10" t="s">
        <v>97</v>
      </c>
      <c r="C17" s="134">
        <v>5800000</v>
      </c>
      <c r="D17" s="174">
        <v>444882.33</v>
      </c>
      <c r="E17" s="130">
        <f t="shared" si="1"/>
        <v>5355117.67</v>
      </c>
      <c r="F17" s="131">
        <f t="shared" si="0"/>
        <v>7.670385</v>
      </c>
    </row>
    <row r="18" ht="55.5" customHeight="1" spans="1:6">
      <c r="A18" s="114" t="s">
        <v>98</v>
      </c>
      <c r="B18" s="127" t="s">
        <v>99</v>
      </c>
      <c r="C18" s="128">
        <v>0</v>
      </c>
      <c r="D18" s="129">
        <v>0</v>
      </c>
      <c r="E18" s="130">
        <f t="shared" si="1"/>
        <v>0</v>
      </c>
      <c r="F18" s="131" t="e">
        <f t="shared" si="0"/>
        <v>#DIV/0!</v>
      </c>
    </row>
    <row r="19" ht="24.75" customHeight="1" spans="1:6">
      <c r="A19" s="114" t="s">
        <v>100</v>
      </c>
      <c r="B19" s="127" t="s">
        <v>101</v>
      </c>
      <c r="C19" s="128">
        <v>0</v>
      </c>
      <c r="D19" s="129">
        <v>0</v>
      </c>
      <c r="E19" s="130">
        <f t="shared" si="1"/>
        <v>0</v>
      </c>
      <c r="F19" s="131" t="e">
        <f t="shared" si="0"/>
        <v>#DIV/0!</v>
      </c>
    </row>
    <row r="20" ht="28.5" customHeight="1" spans="1:6">
      <c r="A20" s="114" t="s">
        <v>148</v>
      </c>
      <c r="B20" s="127" t="s">
        <v>149</v>
      </c>
      <c r="C20" s="128">
        <v>0</v>
      </c>
      <c r="D20" s="129">
        <v>0</v>
      </c>
      <c r="E20" s="130">
        <f t="shared" si="1"/>
        <v>0</v>
      </c>
      <c r="F20" s="131" t="e">
        <f t="shared" si="0"/>
        <v>#DIV/0!</v>
      </c>
    </row>
    <row r="21" ht="33.75" customHeight="1" spans="1:6">
      <c r="A21" s="114" t="s">
        <v>103</v>
      </c>
      <c r="B21" s="127" t="s">
        <v>104</v>
      </c>
      <c r="C21" s="128">
        <v>0</v>
      </c>
      <c r="D21" s="129">
        <v>0</v>
      </c>
      <c r="E21" s="130">
        <f t="shared" si="1"/>
        <v>0</v>
      </c>
      <c r="F21" s="131" t="e">
        <f t="shared" si="0"/>
        <v>#DIV/0!</v>
      </c>
    </row>
    <row r="22" ht="37.5" customHeight="1" spans="1:6">
      <c r="A22" s="114" t="s">
        <v>105</v>
      </c>
      <c r="B22" s="127" t="s">
        <v>106</v>
      </c>
      <c r="C22" s="128">
        <v>0</v>
      </c>
      <c r="D22" s="129">
        <v>0</v>
      </c>
      <c r="E22" s="130">
        <f t="shared" si="1"/>
        <v>0</v>
      </c>
      <c r="F22" s="131" t="e">
        <f t="shared" si="0"/>
        <v>#DIV/0!</v>
      </c>
    </row>
    <row r="23" ht="15.75" customHeight="1" spans="1:6">
      <c r="A23" s="132" t="s">
        <v>109</v>
      </c>
      <c r="B23" s="133"/>
      <c r="C23" s="134">
        <f>C17+C16+C11+C6+C5+C4+C3</f>
        <v>24964000</v>
      </c>
      <c r="D23" s="174">
        <f>D17+D16+D11+D6+D5+D4+D3+D18+D19+D20+D21+D22</f>
        <v>5195040.57</v>
      </c>
      <c r="E23" s="174">
        <f t="shared" ref="E23" si="2">SUM(E3:E22)</f>
        <v>28554510.65</v>
      </c>
      <c r="F23" s="131">
        <f t="shared" si="0"/>
        <v>20.8101288655664</v>
      </c>
    </row>
    <row r="24" s="167" customFormat="1" ht="47.25" customHeight="1" spans="1:6">
      <c r="A24" s="114" t="s">
        <v>107</v>
      </c>
      <c r="B24" s="199" t="s">
        <v>108</v>
      </c>
      <c r="C24" s="116">
        <v>-624476</v>
      </c>
      <c r="D24" s="117">
        <v>-624476</v>
      </c>
      <c r="E24" s="177">
        <f>C24-D24</f>
        <v>0</v>
      </c>
      <c r="F24" s="178">
        <f t="shared" si="0"/>
        <v>100</v>
      </c>
    </row>
    <row r="25" ht="16.5" spans="1:6">
      <c r="A25" s="71" t="s">
        <v>110</v>
      </c>
      <c r="B25" s="15" t="s">
        <v>111</v>
      </c>
      <c r="C25" s="176">
        <f>246100+376300+8000</f>
        <v>630400</v>
      </c>
      <c r="D25" s="176">
        <f>246100+376300+8000</f>
        <v>630400</v>
      </c>
      <c r="E25" s="130">
        <f>C25-D25</f>
        <v>0</v>
      </c>
      <c r="F25" s="131">
        <f t="shared" si="0"/>
        <v>100</v>
      </c>
    </row>
    <row r="26" ht="16.5" spans="1:6">
      <c r="A26" s="132" t="s">
        <v>112</v>
      </c>
      <c r="B26" s="133"/>
      <c r="C26" s="134">
        <f>C23+C24+C25</f>
        <v>24969924</v>
      </c>
      <c r="D26" s="174">
        <f>D23+D24+D25</f>
        <v>5200964.57</v>
      </c>
      <c r="E26" s="174">
        <f>E23+E24+E25</f>
        <v>28554510.65</v>
      </c>
      <c r="F26" s="131">
        <f t="shared" si="0"/>
        <v>20.8289162994649</v>
      </c>
    </row>
    <row r="27" ht="28.5" customHeight="1" spans="1:6">
      <c r="A27" s="132" t="s">
        <v>113</v>
      </c>
      <c r="B27" s="133"/>
      <c r="C27" s="134">
        <f>C26</f>
        <v>24969924</v>
      </c>
      <c r="D27" s="174">
        <f t="shared" ref="D27:E27" si="3">D26</f>
        <v>5200964.57</v>
      </c>
      <c r="E27" s="174">
        <f t="shared" si="3"/>
        <v>28554510.65</v>
      </c>
      <c r="F27" s="131">
        <f t="shared" si="0"/>
        <v>20.8289162994649</v>
      </c>
    </row>
  </sheetData>
  <mergeCells count="17">
    <mergeCell ref="A23:B23"/>
    <mergeCell ref="A26:B26"/>
    <mergeCell ref="A27:B27"/>
    <mergeCell ref="A1:A2"/>
    <mergeCell ref="A6:A7"/>
    <mergeCell ref="A11:A12"/>
    <mergeCell ref="B1:B2"/>
    <mergeCell ref="C1:C2"/>
    <mergeCell ref="C6:C7"/>
    <mergeCell ref="C11:C12"/>
    <mergeCell ref="D1:D2"/>
    <mergeCell ref="D6:D7"/>
    <mergeCell ref="D11:D12"/>
    <mergeCell ref="E6:E7"/>
    <mergeCell ref="E11:E12"/>
    <mergeCell ref="F6:F7"/>
    <mergeCell ref="F11:F12"/>
  </mergeCells>
  <pageMargins left="0.31496062992126" right="0.31496062992126" top="0.354330708661417" bottom="0.354330708661417" header="0.31496062992126" footer="0.31496062992126"/>
  <pageSetup paperSize="9" scale="8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1" sqref="$A1:$XFD1048576"/>
    </sheetView>
  </sheetViews>
  <sheetFormatPr defaultColWidth="9" defaultRowHeight="15" outlineLevelCol="6"/>
  <cols>
    <col min="1" max="1" width="10.5714285714286" customWidth="1"/>
    <col min="2" max="2" width="36" style="2" customWidth="1"/>
    <col min="3" max="3" width="19.7142857142857" style="3" customWidth="1"/>
    <col min="4" max="4" width="20.4285714285714" style="3" customWidth="1"/>
    <col min="5" max="5" width="17.5714285714286" style="3" customWidth="1"/>
    <col min="6" max="6" width="10.1428571428571" style="3" customWidth="1"/>
    <col min="7" max="7" width="5.71428571428571" customWidth="1"/>
  </cols>
  <sheetData>
    <row r="1" ht="64.5" spans="1:6">
      <c r="A1" s="4" t="s">
        <v>115</v>
      </c>
      <c r="B1" s="5" t="s">
        <v>116</v>
      </c>
      <c r="C1" s="6" t="s">
        <v>66</v>
      </c>
      <c r="D1" s="6" t="s">
        <v>67</v>
      </c>
      <c r="E1" s="7" t="s">
        <v>117</v>
      </c>
      <c r="F1" s="8" t="s">
        <v>118</v>
      </c>
    </row>
    <row r="2" ht="16.5" spans="1:6">
      <c r="A2" s="9">
        <v>100</v>
      </c>
      <c r="B2" s="10" t="s">
        <v>119</v>
      </c>
      <c r="C2" s="29">
        <f>SUM(C3:C7)</f>
        <v>14415172.4</v>
      </c>
      <c r="D2" s="29">
        <f>SUM(D3:D7)</f>
        <v>2448822.84</v>
      </c>
      <c r="E2" s="30">
        <f>D2-C2</f>
        <v>-11966349.56</v>
      </c>
      <c r="F2" s="13">
        <f>D2/C2*100</f>
        <v>16.9878151439937</v>
      </c>
    </row>
    <row r="3" ht="23.25" spans="1:6">
      <c r="A3" s="14">
        <v>102</v>
      </c>
      <c r="B3" s="15" t="s">
        <v>120</v>
      </c>
      <c r="C3" s="16">
        <f>676700+204350</f>
        <v>881050</v>
      </c>
      <c r="D3" s="16">
        <f>148248+32436</f>
        <v>180684</v>
      </c>
      <c r="E3" s="30">
        <f t="shared" ref="E3:E36" si="0">D3-C3</f>
        <v>-700366</v>
      </c>
      <c r="F3" s="13">
        <f>D3/C3*100</f>
        <v>20.5078031893763</v>
      </c>
    </row>
    <row r="4" ht="45.75" spans="1:6">
      <c r="A4" s="14">
        <v>104</v>
      </c>
      <c r="B4" s="15" t="s">
        <v>10</v>
      </c>
      <c r="C4" s="16">
        <f>3242200+979150+62000+259400+1900+345350+4150+45300+2000+6000</f>
        <v>4947450</v>
      </c>
      <c r="D4" s="16">
        <f>472500.96+168099.19+9585.32+37505.86+43887.06+4150+600</f>
        <v>736328.39</v>
      </c>
      <c r="E4" s="30">
        <f t="shared" si="0"/>
        <v>-4211121.61</v>
      </c>
      <c r="F4" s="13">
        <f>D4/C4*100</f>
        <v>14.8829880039212</v>
      </c>
    </row>
    <row r="5" ht="38.25" customHeight="1" spans="1:6">
      <c r="A5" s="14">
        <v>106</v>
      </c>
      <c r="B5" s="189" t="s">
        <v>152</v>
      </c>
      <c r="C5" s="16">
        <v>263500</v>
      </c>
      <c r="D5" s="16">
        <v>0</v>
      </c>
      <c r="E5" s="30">
        <f t="shared" si="0"/>
        <v>-263500</v>
      </c>
      <c r="F5" s="13">
        <f>D5/C5*100</f>
        <v>0</v>
      </c>
    </row>
    <row r="6" ht="16.5" spans="1:6">
      <c r="A6" s="14">
        <v>111</v>
      </c>
      <c r="B6" s="15" t="s">
        <v>12</v>
      </c>
      <c r="C6" s="16">
        <v>50000</v>
      </c>
      <c r="D6" s="16">
        <v>0</v>
      </c>
      <c r="E6" s="30">
        <f t="shared" si="0"/>
        <v>-50000</v>
      </c>
      <c r="F6" s="13">
        <f t="shared" ref="F6:F36" si="1">D6/C6*100</f>
        <v>0</v>
      </c>
    </row>
    <row r="7" ht="16.5" spans="1:6">
      <c r="A7" s="14">
        <v>113</v>
      </c>
      <c r="B7" s="15" t="s">
        <v>121</v>
      </c>
      <c r="C7" s="16">
        <f>1732835.98+528000+5642336.42+180000+190000</f>
        <v>8273172.4</v>
      </c>
      <c r="D7" s="23">
        <f>184113.82+47573.2+19725.41+1887.09+7859+28000+469773.45+139675.82+956.75+172985+59157.8+99999+268194.11+8910+23000</f>
        <v>1531810.45</v>
      </c>
      <c r="E7" s="30">
        <f t="shared" si="0"/>
        <v>-6741361.95</v>
      </c>
      <c r="F7" s="13">
        <f t="shared" si="1"/>
        <v>18.5153938046788</v>
      </c>
    </row>
    <row r="8" ht="16.5" spans="1:6">
      <c r="A8" s="9">
        <v>200</v>
      </c>
      <c r="B8" s="10" t="s">
        <v>122</v>
      </c>
      <c r="C8" s="29">
        <f>C9</f>
        <v>376300</v>
      </c>
      <c r="D8" s="29">
        <f>D9</f>
        <v>58047.86</v>
      </c>
      <c r="E8" s="30">
        <f t="shared" si="0"/>
        <v>-318252.14</v>
      </c>
      <c r="F8" s="13">
        <f t="shared" si="1"/>
        <v>15.425952697316</v>
      </c>
    </row>
    <row r="9" ht="16.5" spans="1:6">
      <c r="A9" s="14">
        <v>203</v>
      </c>
      <c r="B9" s="15" t="s">
        <v>123</v>
      </c>
      <c r="C9" s="16">
        <v>376300</v>
      </c>
      <c r="D9" s="16">
        <f>44724.56+13204+119.3</f>
        <v>58047.86</v>
      </c>
      <c r="E9" s="30">
        <f t="shared" si="0"/>
        <v>-318252.14</v>
      </c>
      <c r="F9" s="13">
        <f t="shared" si="1"/>
        <v>15.425952697316</v>
      </c>
    </row>
    <row r="10" ht="21.75" spans="1:6">
      <c r="A10" s="9">
        <v>300</v>
      </c>
      <c r="B10" s="10" t="s">
        <v>124</v>
      </c>
      <c r="C10" s="29">
        <f>SUM(C11:C12)</f>
        <v>695100</v>
      </c>
      <c r="D10" s="29">
        <f>SUM(D11:D12)</f>
        <v>6990</v>
      </c>
      <c r="E10" s="30">
        <f t="shared" si="0"/>
        <v>-688110</v>
      </c>
      <c r="F10" s="13">
        <f t="shared" si="1"/>
        <v>1.0056107034959</v>
      </c>
    </row>
    <row r="11" ht="34.5" spans="1:6">
      <c r="A11" s="14">
        <v>309</v>
      </c>
      <c r="B11" s="25" t="s">
        <v>125</v>
      </c>
      <c r="C11" s="26">
        <v>665100</v>
      </c>
      <c r="D11" s="16">
        <v>6990</v>
      </c>
      <c r="E11" s="30">
        <f t="shared" si="0"/>
        <v>-658110</v>
      </c>
      <c r="F11" s="13">
        <f t="shared" si="1"/>
        <v>1.0509697789806</v>
      </c>
    </row>
    <row r="12" ht="23.25" spans="1:6">
      <c r="A12" s="14">
        <v>314</v>
      </c>
      <c r="B12" s="27" t="s">
        <v>126</v>
      </c>
      <c r="C12" s="16">
        <v>30000</v>
      </c>
      <c r="D12" s="16">
        <v>0</v>
      </c>
      <c r="E12" s="30">
        <f t="shared" si="0"/>
        <v>-30000</v>
      </c>
      <c r="F12" s="13">
        <f t="shared" si="1"/>
        <v>0</v>
      </c>
    </row>
    <row r="13" ht="16.5" spans="1:6">
      <c r="A13" s="9">
        <v>400</v>
      </c>
      <c r="B13" s="28" t="s">
        <v>127</v>
      </c>
      <c r="C13" s="29">
        <f>SUM(C14:C15)</f>
        <v>944000</v>
      </c>
      <c r="D13" s="29">
        <f>SUM(D14:D15)</f>
        <v>0</v>
      </c>
      <c r="E13" s="30">
        <f t="shared" si="0"/>
        <v>-944000</v>
      </c>
      <c r="F13" s="13">
        <f t="shared" si="1"/>
        <v>0</v>
      </c>
    </row>
    <row r="14" ht="16.5" spans="1:6">
      <c r="A14" s="14">
        <v>409</v>
      </c>
      <c r="B14" s="15" t="s">
        <v>27</v>
      </c>
      <c r="C14" s="16">
        <v>694000</v>
      </c>
      <c r="D14" s="16">
        <v>0</v>
      </c>
      <c r="E14" s="30">
        <f t="shared" si="0"/>
        <v>-694000</v>
      </c>
      <c r="F14" s="13">
        <f t="shared" si="1"/>
        <v>0</v>
      </c>
    </row>
    <row r="15" ht="23.25" spans="1:6">
      <c r="A15" s="14">
        <v>412</v>
      </c>
      <c r="B15" s="15" t="s">
        <v>128</v>
      </c>
      <c r="C15" s="16">
        <v>250000</v>
      </c>
      <c r="D15" s="16">
        <v>0</v>
      </c>
      <c r="E15" s="30">
        <f t="shared" si="0"/>
        <v>-250000</v>
      </c>
      <c r="F15" s="13">
        <f t="shared" si="1"/>
        <v>0</v>
      </c>
    </row>
    <row r="16" ht="16.5" spans="1:7">
      <c r="A16" s="9">
        <v>500</v>
      </c>
      <c r="B16" s="10" t="s">
        <v>129</v>
      </c>
      <c r="C16" s="29">
        <f>SUM(C17:C18)</f>
        <v>4738000</v>
      </c>
      <c r="D16" s="29">
        <f>SUM(D17:D18)</f>
        <v>374722.32</v>
      </c>
      <c r="E16" s="30">
        <f t="shared" si="0"/>
        <v>-4363277.68</v>
      </c>
      <c r="F16" s="13">
        <f t="shared" si="1"/>
        <v>7.90887125369354</v>
      </c>
      <c r="G16">
        <f>D16/D36*100</f>
        <v>9.85063043591893</v>
      </c>
    </row>
    <row r="17" ht="16.5" spans="1:6">
      <c r="A17" s="14">
        <v>502</v>
      </c>
      <c r="B17" s="15" t="s">
        <v>31</v>
      </c>
      <c r="C17" s="16">
        <v>2800000</v>
      </c>
      <c r="D17" s="16">
        <v>79740</v>
      </c>
      <c r="E17" s="30">
        <f t="shared" si="0"/>
        <v>-2720260</v>
      </c>
      <c r="F17" s="13">
        <f t="shared" si="1"/>
        <v>2.84785714285714</v>
      </c>
    </row>
    <row r="18" ht="16.5" spans="1:6">
      <c r="A18" s="14">
        <v>503</v>
      </c>
      <c r="B18" s="15" t="s">
        <v>33</v>
      </c>
      <c r="C18" s="16">
        <v>1938000</v>
      </c>
      <c r="D18" s="16">
        <v>294982.32</v>
      </c>
      <c r="E18" s="30">
        <f t="shared" si="0"/>
        <v>-1643017.68</v>
      </c>
      <c r="F18" s="13">
        <f t="shared" si="1"/>
        <v>15.2209659442724</v>
      </c>
    </row>
    <row r="19" ht="16.5" spans="1:6">
      <c r="A19" s="9">
        <v>700</v>
      </c>
      <c r="B19" s="10" t="s">
        <v>130</v>
      </c>
      <c r="C19" s="29">
        <f>C20</f>
        <v>130000</v>
      </c>
      <c r="D19" s="29">
        <v>0</v>
      </c>
      <c r="E19" s="30">
        <f t="shared" si="0"/>
        <v>-130000</v>
      </c>
      <c r="F19" s="13">
        <f t="shared" si="1"/>
        <v>0</v>
      </c>
    </row>
    <row r="20" ht="16.5" spans="1:6">
      <c r="A20" s="14">
        <v>707</v>
      </c>
      <c r="B20" s="15" t="s">
        <v>35</v>
      </c>
      <c r="C20" s="16">
        <v>130000</v>
      </c>
      <c r="D20" s="16">
        <v>0</v>
      </c>
      <c r="E20" s="30">
        <f t="shared" si="0"/>
        <v>-130000</v>
      </c>
      <c r="F20" s="13">
        <f t="shared" si="1"/>
        <v>0</v>
      </c>
    </row>
    <row r="21" ht="16.5" spans="1:7">
      <c r="A21" s="9">
        <v>800</v>
      </c>
      <c r="B21" s="10" t="s">
        <v>131</v>
      </c>
      <c r="C21" s="29">
        <f>SUM(C22:C23)</f>
        <v>5754200</v>
      </c>
      <c r="D21" s="29">
        <f>SUM(D22:D23)</f>
        <v>739447</v>
      </c>
      <c r="E21" s="30">
        <f t="shared" si="0"/>
        <v>-5014753</v>
      </c>
      <c r="F21" s="13">
        <f t="shared" si="1"/>
        <v>12.8505613291161</v>
      </c>
      <c r="G21">
        <f>D21/D36*100</f>
        <v>19.4384447767855</v>
      </c>
    </row>
    <row r="22" ht="16.5" spans="1:6">
      <c r="A22" s="14">
        <v>801</v>
      </c>
      <c r="B22" s="15" t="s">
        <v>132</v>
      </c>
      <c r="C22" s="16">
        <f>3761700+1456400+246100+10000+130000</f>
        <v>5604200</v>
      </c>
      <c r="D22" s="16">
        <f>460668+251200+23436</f>
        <v>735304</v>
      </c>
      <c r="E22" s="30">
        <f t="shared" si="0"/>
        <v>-4868896</v>
      </c>
      <c r="F22" s="13">
        <f t="shared" si="1"/>
        <v>13.1205881303308</v>
      </c>
    </row>
    <row r="23" ht="16.5" spans="1:6">
      <c r="A23" s="14">
        <v>804</v>
      </c>
      <c r="B23" s="15" t="s">
        <v>133</v>
      </c>
      <c r="C23" s="16">
        <v>150000</v>
      </c>
      <c r="D23" s="16">
        <v>4143</v>
      </c>
      <c r="E23" s="30">
        <f t="shared" si="0"/>
        <v>-145857</v>
      </c>
      <c r="F23" s="13">
        <f t="shared" si="1"/>
        <v>2.762</v>
      </c>
    </row>
    <row r="24" ht="16.5" spans="1:6">
      <c r="A24" s="9">
        <v>1000</v>
      </c>
      <c r="B24" s="10" t="s">
        <v>134</v>
      </c>
      <c r="C24" s="29">
        <f>C25</f>
        <v>60000</v>
      </c>
      <c r="D24" s="29">
        <f>D25</f>
        <v>0</v>
      </c>
      <c r="E24" s="30">
        <f t="shared" si="0"/>
        <v>-60000</v>
      </c>
      <c r="F24" s="13">
        <f t="shared" si="1"/>
        <v>0</v>
      </c>
    </row>
    <row r="25" ht="16.5" spans="1:6">
      <c r="A25" s="14">
        <v>1003</v>
      </c>
      <c r="B25" s="15" t="s">
        <v>135</v>
      </c>
      <c r="C25" s="16">
        <v>60000</v>
      </c>
      <c r="D25" s="16">
        <v>0</v>
      </c>
      <c r="E25" s="30">
        <f t="shared" si="0"/>
        <v>-60000</v>
      </c>
      <c r="F25" s="13">
        <f t="shared" si="1"/>
        <v>0</v>
      </c>
    </row>
    <row r="26" ht="16.5" spans="1:6">
      <c r="A26" s="9">
        <v>1100</v>
      </c>
      <c r="B26" s="10" t="s">
        <v>136</v>
      </c>
      <c r="C26" s="29">
        <f>C27+C28</f>
        <v>553700</v>
      </c>
      <c r="D26" s="29">
        <f>D27+D28</f>
        <v>144050</v>
      </c>
      <c r="E26" s="30">
        <f t="shared" si="0"/>
        <v>-409650</v>
      </c>
      <c r="F26" s="13">
        <f t="shared" si="1"/>
        <v>26.0158930828969</v>
      </c>
    </row>
    <row r="27" ht="16.5" spans="1:6">
      <c r="A27" s="14">
        <v>1101</v>
      </c>
      <c r="B27" s="15" t="s">
        <v>137</v>
      </c>
      <c r="C27" s="16">
        <v>553700</v>
      </c>
      <c r="D27" s="16">
        <v>144050</v>
      </c>
      <c r="E27" s="30">
        <f t="shared" si="0"/>
        <v>-409650</v>
      </c>
      <c r="F27" s="13">
        <f t="shared" si="1"/>
        <v>26.0158930828969</v>
      </c>
    </row>
    <row r="28" ht="16.5" spans="1:6">
      <c r="A28" s="14">
        <v>1102</v>
      </c>
      <c r="B28" s="15" t="s">
        <v>150</v>
      </c>
      <c r="C28" s="32">
        <v>0</v>
      </c>
      <c r="D28" s="32">
        <v>0</v>
      </c>
      <c r="E28" s="30">
        <f t="shared" si="0"/>
        <v>0</v>
      </c>
      <c r="F28" s="13" t="e">
        <f t="shared" si="1"/>
        <v>#DIV/0!</v>
      </c>
    </row>
    <row r="29" ht="16.5" spans="1:6">
      <c r="A29" s="14">
        <v>1200</v>
      </c>
      <c r="B29" s="10" t="s">
        <v>138</v>
      </c>
      <c r="C29" s="190">
        <f>C30+C31</f>
        <v>100000</v>
      </c>
      <c r="D29" s="190">
        <f>D30+D31</f>
        <v>26900</v>
      </c>
      <c r="E29" s="30">
        <f t="shared" si="0"/>
        <v>-73100</v>
      </c>
      <c r="F29" s="13">
        <f t="shared" si="1"/>
        <v>26.9</v>
      </c>
    </row>
    <row r="30" ht="16.5" spans="1:6">
      <c r="A30" s="14">
        <v>1202</v>
      </c>
      <c r="B30" s="18" t="s">
        <v>139</v>
      </c>
      <c r="C30" s="32">
        <v>0</v>
      </c>
      <c r="D30" s="191">
        <v>0</v>
      </c>
      <c r="E30" s="30">
        <f t="shared" si="0"/>
        <v>0</v>
      </c>
      <c r="F30" s="13" t="e">
        <f t="shared" si="1"/>
        <v>#DIV/0!</v>
      </c>
    </row>
    <row r="31" ht="23.25" spans="1:6">
      <c r="A31" s="192">
        <v>1204</v>
      </c>
      <c r="B31" s="22" t="s">
        <v>151</v>
      </c>
      <c r="C31" s="193">
        <v>100000</v>
      </c>
      <c r="D31" s="194">
        <v>26900</v>
      </c>
      <c r="E31" s="30">
        <f t="shared" si="0"/>
        <v>-73100</v>
      </c>
      <c r="F31" s="13">
        <f t="shared" si="1"/>
        <v>26.9</v>
      </c>
    </row>
    <row r="32" ht="16.5" spans="1:6">
      <c r="A32" s="195" t="s">
        <v>140</v>
      </c>
      <c r="B32" s="196" t="s">
        <v>141</v>
      </c>
      <c r="C32" s="197">
        <f>C34</f>
        <v>5064.02</v>
      </c>
      <c r="D32" s="198">
        <f>D34</f>
        <v>5064.02</v>
      </c>
      <c r="E32" s="30">
        <f t="shared" si="0"/>
        <v>0</v>
      </c>
      <c r="F32" s="13">
        <f t="shared" si="1"/>
        <v>100</v>
      </c>
    </row>
    <row r="33" ht="16.5" spans="1:6">
      <c r="A33" s="9"/>
      <c r="B33" s="10" t="s">
        <v>142</v>
      </c>
      <c r="C33" s="54"/>
      <c r="D33" s="54"/>
      <c r="E33" s="30">
        <f t="shared" si="0"/>
        <v>0</v>
      </c>
      <c r="F33" s="13"/>
    </row>
    <row r="34" ht="16.5" spans="1:6">
      <c r="A34" s="55" t="s">
        <v>143</v>
      </c>
      <c r="B34" s="56" t="s">
        <v>144</v>
      </c>
      <c r="C34" s="57">
        <v>5064.02</v>
      </c>
      <c r="D34" s="57">
        <v>5064.02</v>
      </c>
      <c r="E34" s="30">
        <f t="shared" si="0"/>
        <v>0</v>
      </c>
      <c r="F34" s="13">
        <f t="shared" si="1"/>
        <v>100</v>
      </c>
    </row>
    <row r="35" ht="16.5" spans="1:6">
      <c r="A35" s="14"/>
      <c r="B35" s="15" t="s">
        <v>145</v>
      </c>
      <c r="C35" s="26"/>
      <c r="D35" s="26"/>
      <c r="E35" s="30">
        <f t="shared" si="0"/>
        <v>0</v>
      </c>
      <c r="F35" s="13"/>
    </row>
    <row r="36" ht="16.5" spans="1:6">
      <c r="A36" s="9">
        <v>9800</v>
      </c>
      <c r="B36" s="10" t="s">
        <v>146</v>
      </c>
      <c r="C36" s="29">
        <f>C32+C29+C26+C24+C21+C19+C16+C13+C10+C8+C2</f>
        <v>27771536.42</v>
      </c>
      <c r="D36" s="29">
        <f>D32+D29+D26+D24+D21+D19+D16+D13+D10+D8+D2</f>
        <v>3804044.04</v>
      </c>
      <c r="E36" s="30">
        <f t="shared" si="0"/>
        <v>-23967492.38</v>
      </c>
      <c r="F36" s="13">
        <f t="shared" si="1"/>
        <v>13.6976362505478</v>
      </c>
    </row>
  </sheetData>
  <mergeCells count="6">
    <mergeCell ref="A32:A33"/>
    <mergeCell ref="A34:A35"/>
    <mergeCell ref="C32:C33"/>
    <mergeCell ref="C34:C35"/>
    <mergeCell ref="D32:D33"/>
    <mergeCell ref="D34:D35"/>
  </mergeCells>
  <pageMargins left="0.31496062992126" right="0.118110236220472" top="0.748031496062992" bottom="0.748031496062992" header="0.31496062992126" footer="0.31496062992126"/>
  <pageSetup paperSize="9" scale="8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A1" sqref="$A1:$XFD1048576"/>
    </sheetView>
  </sheetViews>
  <sheetFormatPr defaultColWidth="9" defaultRowHeight="15" outlineLevelCol="6"/>
  <cols>
    <col min="1" max="1" width="10.5714285714286" customWidth="1"/>
    <col min="2" max="2" width="36" style="2" customWidth="1"/>
    <col min="3" max="3" width="19.7142857142857" style="3" customWidth="1"/>
    <col min="4" max="4" width="20.4285714285714" style="3" customWidth="1"/>
    <col min="5" max="5" width="17.5714285714286" style="3" customWidth="1"/>
    <col min="6" max="6" width="10.1428571428571" style="3" customWidth="1"/>
    <col min="7" max="7" width="5.71428571428571" customWidth="1"/>
  </cols>
  <sheetData>
    <row r="1" ht="64.5" spans="1:6">
      <c r="A1" s="4" t="s">
        <v>115</v>
      </c>
      <c r="B1" s="5" t="s">
        <v>116</v>
      </c>
      <c r="C1" s="6" t="s">
        <v>66</v>
      </c>
      <c r="D1" s="6" t="s">
        <v>67</v>
      </c>
      <c r="E1" s="7" t="s">
        <v>117</v>
      </c>
      <c r="F1" s="8" t="s">
        <v>118</v>
      </c>
    </row>
    <row r="2" ht="16.5" spans="1:6">
      <c r="A2" s="9">
        <v>100</v>
      </c>
      <c r="B2" s="10" t="s">
        <v>119</v>
      </c>
      <c r="C2" s="29">
        <f>SUM(C3:C8)</f>
        <v>17657064.16</v>
      </c>
      <c r="D2" s="29">
        <f>SUM(D3:D8)</f>
        <v>3243448.81</v>
      </c>
      <c r="E2" s="30">
        <f>D2-C2</f>
        <v>-14413615.35</v>
      </c>
      <c r="F2" s="13">
        <f>D2/C2*100</f>
        <v>18.3691285290091</v>
      </c>
    </row>
    <row r="3" ht="23.25" spans="1:6">
      <c r="A3" s="14">
        <v>102</v>
      </c>
      <c r="B3" s="15" t="s">
        <v>120</v>
      </c>
      <c r="C3" s="16">
        <f>780500+235700</f>
        <v>1016200</v>
      </c>
      <c r="D3" s="16">
        <f>144305.9+37914.28</f>
        <v>182220.18</v>
      </c>
      <c r="E3" s="30">
        <f t="shared" ref="E3:E38" si="0">D3-C3</f>
        <v>-833979.82</v>
      </c>
      <c r="F3" s="13">
        <f>D3/C3*100</f>
        <v>17.9315272584137</v>
      </c>
    </row>
    <row r="4" ht="45.75" spans="1:6">
      <c r="A4" s="14">
        <v>104</v>
      </c>
      <c r="B4" s="18" t="s">
        <v>10</v>
      </c>
      <c r="C4" s="16">
        <f>4390400+1100+1326300+195400+515800+20000+15000+10000+7600</f>
        <v>6481600</v>
      </c>
      <c r="D4" s="16">
        <f>862775.73+200+187780.83+72635.59+39917.99+3173+723.49</f>
        <v>1167206.63</v>
      </c>
      <c r="E4" s="30">
        <f t="shared" si="0"/>
        <v>-5314393.37</v>
      </c>
      <c r="F4" s="13">
        <f>D4/C4*100</f>
        <v>18.0080015736855</v>
      </c>
    </row>
    <row r="5" ht="38.25" customHeight="1" spans="1:6">
      <c r="A5" s="19">
        <v>106</v>
      </c>
      <c r="B5" s="20" t="s">
        <v>152</v>
      </c>
      <c r="C5" s="16">
        <v>204500</v>
      </c>
      <c r="D5" s="16">
        <v>0</v>
      </c>
      <c r="E5" s="30">
        <f t="shared" si="0"/>
        <v>-204500</v>
      </c>
      <c r="F5" s="13">
        <f>D5/C5*100</f>
        <v>0</v>
      </c>
    </row>
    <row r="6" ht="25.5" customHeight="1" spans="1:6">
      <c r="A6" s="14">
        <v>107</v>
      </c>
      <c r="B6" s="21" t="s">
        <v>153</v>
      </c>
      <c r="C6" s="16">
        <v>1000000</v>
      </c>
      <c r="D6" s="16">
        <v>0</v>
      </c>
      <c r="E6" s="30">
        <f t="shared" si="0"/>
        <v>-1000000</v>
      </c>
      <c r="F6" s="13"/>
    </row>
    <row r="7" ht="16.5" spans="1:6">
      <c r="A7" s="19">
        <v>111</v>
      </c>
      <c r="B7" s="22" t="s">
        <v>12</v>
      </c>
      <c r="C7" s="16">
        <v>50000</v>
      </c>
      <c r="D7" s="16">
        <v>0</v>
      </c>
      <c r="E7" s="30">
        <f t="shared" si="0"/>
        <v>-50000</v>
      </c>
      <c r="F7" s="13">
        <f t="shared" ref="F7:F38" si="1">D7/C7*100</f>
        <v>0</v>
      </c>
    </row>
    <row r="8" ht="16.5" spans="1:6">
      <c r="A8" s="14">
        <v>113</v>
      </c>
      <c r="B8" s="15" t="s">
        <v>121</v>
      </c>
      <c r="C8" s="16">
        <f>100000+70000+230000+10000+1205800+364200+293000+224000+1500+500+2594300+783464.16+642000+2333000+25000+24000+4000</f>
        <v>8904764.16</v>
      </c>
      <c r="D8" s="23">
        <f>21257.7+196154.95+235755.53+54973.55+20696.91+4560+111.75+522542.99+126987.27+277874.43+418206.76+4978+9724+198.16</f>
        <v>1894022</v>
      </c>
      <c r="E8" s="30">
        <f t="shared" si="0"/>
        <v>-7010742.16</v>
      </c>
      <c r="F8" s="13">
        <f t="shared" si="1"/>
        <v>21.2697603885783</v>
      </c>
    </row>
    <row r="9" ht="16.5" spans="1:6">
      <c r="A9" s="9">
        <v>200</v>
      </c>
      <c r="B9" s="10" t="s">
        <v>122</v>
      </c>
      <c r="C9" s="29">
        <f>C10</f>
        <v>402100</v>
      </c>
      <c r="D9" s="29">
        <f>D10</f>
        <v>64132.65</v>
      </c>
      <c r="E9" s="30">
        <f t="shared" si="0"/>
        <v>-337967.35</v>
      </c>
      <c r="F9" s="13">
        <f t="shared" si="1"/>
        <v>15.9494280029843</v>
      </c>
    </row>
    <row r="10" ht="16.5" spans="1:6">
      <c r="A10" s="14">
        <v>203</v>
      </c>
      <c r="B10" s="15" t="s">
        <v>123</v>
      </c>
      <c r="C10" s="16">
        <f>307220+92780+2100</f>
        <v>402100</v>
      </c>
      <c r="D10" s="16">
        <f>30098.11+33034.54+1000</f>
        <v>64132.65</v>
      </c>
      <c r="E10" s="30">
        <f t="shared" si="0"/>
        <v>-337967.35</v>
      </c>
      <c r="F10" s="13">
        <f t="shared" si="1"/>
        <v>15.9494280029843</v>
      </c>
    </row>
    <row r="11" ht="21.75" spans="1:6">
      <c r="A11" s="9">
        <v>300</v>
      </c>
      <c r="B11" s="10" t="s">
        <v>124</v>
      </c>
      <c r="C11" s="29">
        <f>SUM(C12:C13)</f>
        <v>370800</v>
      </c>
      <c r="D11" s="29">
        <f>SUM(D12:D13)</f>
        <v>0</v>
      </c>
      <c r="E11" s="30">
        <f t="shared" si="0"/>
        <v>-370800</v>
      </c>
      <c r="F11" s="13">
        <f t="shared" si="1"/>
        <v>0</v>
      </c>
    </row>
    <row r="12" ht="34.5" spans="1:6">
      <c r="A12" s="14">
        <v>309</v>
      </c>
      <c r="B12" s="25" t="s">
        <v>125</v>
      </c>
      <c r="C12" s="26">
        <f>55000+10000+225800</f>
        <v>290800</v>
      </c>
      <c r="D12" s="16">
        <v>0</v>
      </c>
      <c r="E12" s="30">
        <f t="shared" si="0"/>
        <v>-290800</v>
      </c>
      <c r="F12" s="13">
        <f t="shared" si="1"/>
        <v>0</v>
      </c>
    </row>
    <row r="13" ht="23.25" spans="1:6">
      <c r="A13" s="14">
        <v>314</v>
      </c>
      <c r="B13" s="27" t="s">
        <v>126</v>
      </c>
      <c r="C13" s="16">
        <f>60000+20000</f>
        <v>80000</v>
      </c>
      <c r="D13" s="16">
        <v>0</v>
      </c>
      <c r="E13" s="30">
        <f t="shared" si="0"/>
        <v>-80000</v>
      </c>
      <c r="F13" s="13">
        <f t="shared" si="1"/>
        <v>0</v>
      </c>
    </row>
    <row r="14" ht="16.5" spans="1:6">
      <c r="A14" s="9">
        <v>400</v>
      </c>
      <c r="B14" s="28" t="s">
        <v>127</v>
      </c>
      <c r="C14" s="29">
        <f>SUM(C15:C16)</f>
        <v>12560106.04</v>
      </c>
      <c r="D14" s="29">
        <f>SUM(D15:D16)</f>
        <v>569526.72</v>
      </c>
      <c r="E14" s="30">
        <f t="shared" si="0"/>
        <v>-11990579.32</v>
      </c>
      <c r="F14" s="13">
        <f t="shared" si="1"/>
        <v>4.53441012509159</v>
      </c>
    </row>
    <row r="15" ht="16.5" spans="1:6">
      <c r="A15" s="14">
        <v>409</v>
      </c>
      <c r="B15" s="15" t="s">
        <v>27</v>
      </c>
      <c r="C15" s="16">
        <f>4720506.04+500000+1000000+6124600</f>
        <v>12345106.04</v>
      </c>
      <c r="D15" s="16">
        <f>356246+141280.72</f>
        <v>497526.72</v>
      </c>
      <c r="E15" s="30">
        <f t="shared" si="0"/>
        <v>-11847579.32</v>
      </c>
      <c r="F15" s="13">
        <f t="shared" si="1"/>
        <v>4.03015347448567</v>
      </c>
    </row>
    <row r="16" ht="23.25" spans="1:6">
      <c r="A16" s="14">
        <v>412</v>
      </c>
      <c r="B16" s="15" t="s">
        <v>128</v>
      </c>
      <c r="C16" s="16">
        <f>40000+20000+155000</f>
        <v>215000</v>
      </c>
      <c r="D16" s="16">
        <f>72000</f>
        <v>72000</v>
      </c>
      <c r="E16" s="30">
        <f t="shared" si="0"/>
        <v>-143000</v>
      </c>
      <c r="F16" s="13">
        <f t="shared" si="1"/>
        <v>33.4883720930233</v>
      </c>
    </row>
    <row r="17" ht="16.5" spans="1:7">
      <c r="A17" s="9">
        <v>500</v>
      </c>
      <c r="B17" s="10" t="s">
        <v>129</v>
      </c>
      <c r="C17" s="29">
        <f>SUM(C18:C19)</f>
        <v>5355684.11</v>
      </c>
      <c r="D17" s="29">
        <f>SUM(D18:D19)</f>
        <v>2119428.11</v>
      </c>
      <c r="E17" s="30">
        <f t="shared" si="0"/>
        <v>-3236256</v>
      </c>
      <c r="F17" s="13">
        <f t="shared" si="1"/>
        <v>39.5734338782726</v>
      </c>
      <c r="G17">
        <f>D17/D38*100</f>
        <v>27.1643078361368</v>
      </c>
    </row>
    <row r="18" ht="16.5" spans="1:6">
      <c r="A18" s="14">
        <v>502</v>
      </c>
      <c r="B18" s="15" t="s">
        <v>31</v>
      </c>
      <c r="C18" s="16">
        <f>100000+300000+1530000</f>
        <v>1930000</v>
      </c>
      <c r="D18" s="16">
        <f>36658.47+88492.45+1321634.44</f>
        <v>1446785.36</v>
      </c>
      <c r="E18" s="30">
        <f t="shared" si="0"/>
        <v>-483214.64</v>
      </c>
      <c r="F18" s="13">
        <f t="shared" si="1"/>
        <v>74.9629720207254</v>
      </c>
    </row>
    <row r="19" ht="16.5" spans="1:6">
      <c r="A19" s="14">
        <v>503</v>
      </c>
      <c r="B19" s="15" t="s">
        <v>33</v>
      </c>
      <c r="C19" s="16">
        <f>2450000+205684.11+270000+500000</f>
        <v>3425684.11</v>
      </c>
      <c r="D19" s="16">
        <f>580012.35+39960+52670.4</f>
        <v>672642.75</v>
      </c>
      <c r="E19" s="30">
        <f t="shared" si="0"/>
        <v>-2753041.36</v>
      </c>
      <c r="F19" s="13">
        <f t="shared" si="1"/>
        <v>19.6352824253839</v>
      </c>
    </row>
    <row r="20" ht="16.5" spans="1:6">
      <c r="A20" s="9">
        <v>700</v>
      </c>
      <c r="B20" s="10" t="s">
        <v>130</v>
      </c>
      <c r="C20" s="29">
        <f>C21</f>
        <v>25000</v>
      </c>
      <c r="D20" s="29">
        <f>D21</f>
        <v>848</v>
      </c>
      <c r="E20" s="30">
        <f t="shared" si="0"/>
        <v>-24152</v>
      </c>
      <c r="F20" s="13">
        <f t="shared" si="1"/>
        <v>3.392</v>
      </c>
    </row>
    <row r="21" ht="16.5" spans="1:6">
      <c r="A21" s="14">
        <v>707</v>
      </c>
      <c r="B21" s="15" t="s">
        <v>35</v>
      </c>
      <c r="C21" s="16">
        <f>25000</f>
        <v>25000</v>
      </c>
      <c r="D21" s="16">
        <f>848</f>
        <v>848</v>
      </c>
      <c r="E21" s="30">
        <f t="shared" si="0"/>
        <v>-24152</v>
      </c>
      <c r="F21" s="13">
        <f t="shared" si="1"/>
        <v>3.392</v>
      </c>
    </row>
    <row r="22" ht="16.5" spans="1:7">
      <c r="A22" s="9">
        <v>800</v>
      </c>
      <c r="B22" s="10" t="s">
        <v>131</v>
      </c>
      <c r="C22" s="29">
        <f>SUM(C23:C24)</f>
        <v>7899900</v>
      </c>
      <c r="D22" s="29">
        <f>SUM(D23:D24)</f>
        <v>1704389.19</v>
      </c>
      <c r="E22" s="30">
        <f t="shared" si="0"/>
        <v>-6195510.81</v>
      </c>
      <c r="F22" s="13">
        <f t="shared" si="1"/>
        <v>21.5748198078457</v>
      </c>
      <c r="G22">
        <f>D22/D38*100</f>
        <v>21.8448327694133</v>
      </c>
    </row>
    <row r="23" ht="16.5" spans="1:6">
      <c r="A23" s="14">
        <v>801</v>
      </c>
      <c r="B23" s="15" t="s">
        <v>132</v>
      </c>
      <c r="C23" s="16">
        <f>2878400+15000+1808300+1602700+10000+1283700+93800+20000</f>
        <v>7711900</v>
      </c>
      <c r="D23" s="16">
        <f>953359.21+242321.76+310359.6+152724.62+15624</f>
        <v>1674389.19</v>
      </c>
      <c r="E23" s="30">
        <f t="shared" si="0"/>
        <v>-6037510.81</v>
      </c>
      <c r="F23" s="13">
        <f t="shared" si="1"/>
        <v>21.7117596182523</v>
      </c>
    </row>
    <row r="24" ht="16.5" spans="1:6">
      <c r="A24" s="14">
        <v>804</v>
      </c>
      <c r="B24" s="15" t="s">
        <v>133</v>
      </c>
      <c r="C24" s="16">
        <v>188000</v>
      </c>
      <c r="D24" s="16">
        <v>30000</v>
      </c>
      <c r="E24" s="30">
        <f t="shared" si="0"/>
        <v>-158000</v>
      </c>
      <c r="F24" s="13">
        <f t="shared" si="1"/>
        <v>15.9574468085106</v>
      </c>
    </row>
    <row r="25" ht="16.5" hidden="1" spans="1:6">
      <c r="A25" s="9">
        <v>1000</v>
      </c>
      <c r="B25" s="10" t="s">
        <v>134</v>
      </c>
      <c r="C25" s="29">
        <f>C26</f>
        <v>0</v>
      </c>
      <c r="D25" s="29">
        <f>D26</f>
        <v>0</v>
      </c>
      <c r="E25" s="30">
        <f t="shared" si="0"/>
        <v>0</v>
      </c>
      <c r="F25" s="13" t="e">
        <f t="shared" si="1"/>
        <v>#DIV/0!</v>
      </c>
    </row>
    <row r="26" ht="16.5" hidden="1" spans="1:6">
      <c r="A26" s="14">
        <v>1003</v>
      </c>
      <c r="B26" s="15" t="s">
        <v>135</v>
      </c>
      <c r="C26" s="16">
        <v>0</v>
      </c>
      <c r="D26" s="16">
        <v>0</v>
      </c>
      <c r="E26" s="30">
        <f t="shared" si="0"/>
        <v>0</v>
      </c>
      <c r="F26" s="13" t="e">
        <f t="shared" si="1"/>
        <v>#DIV/0!</v>
      </c>
    </row>
    <row r="27" ht="16.5" spans="1:6">
      <c r="A27" s="9">
        <v>1100</v>
      </c>
      <c r="B27" s="10" t="s">
        <v>136</v>
      </c>
      <c r="C27" s="29">
        <f>C28+C29</f>
        <v>682580</v>
      </c>
      <c r="D27" s="29">
        <f>D28+D29</f>
        <v>96879.84</v>
      </c>
      <c r="E27" s="30">
        <f t="shared" si="0"/>
        <v>-585700.16</v>
      </c>
      <c r="F27" s="13">
        <f t="shared" si="1"/>
        <v>14.193184681649</v>
      </c>
    </row>
    <row r="28" ht="16.5" spans="1:6">
      <c r="A28" s="14">
        <v>1101</v>
      </c>
      <c r="B28" s="15" t="s">
        <v>137</v>
      </c>
      <c r="C28" s="16">
        <v>582580</v>
      </c>
      <c r="D28" s="16">
        <v>96879.84</v>
      </c>
      <c r="E28" s="30">
        <f t="shared" si="0"/>
        <v>-485700.16</v>
      </c>
      <c r="F28" s="13">
        <f t="shared" si="1"/>
        <v>16.6294483161111</v>
      </c>
    </row>
    <row r="29" ht="16.5" customHeight="1" spans="1:6">
      <c r="A29" s="14">
        <v>1102</v>
      </c>
      <c r="B29" s="15" t="s">
        <v>150</v>
      </c>
      <c r="C29" s="32">
        <v>100000</v>
      </c>
      <c r="D29" s="32">
        <v>0</v>
      </c>
      <c r="E29" s="30">
        <f t="shared" si="0"/>
        <v>-100000</v>
      </c>
      <c r="F29" s="13">
        <f t="shared" si="1"/>
        <v>0</v>
      </c>
    </row>
    <row r="30" ht="16.5" spans="1:6">
      <c r="A30" s="55">
        <v>1200</v>
      </c>
      <c r="B30" s="162" t="s">
        <v>138</v>
      </c>
      <c r="C30" s="163">
        <v>0</v>
      </c>
      <c r="D30" s="163">
        <v>0</v>
      </c>
      <c r="E30" s="30">
        <f t="shared" si="0"/>
        <v>0</v>
      </c>
      <c r="F30" s="13" t="e">
        <f t="shared" si="1"/>
        <v>#DIV/0!</v>
      </c>
    </row>
    <row r="31" ht="23.25" spans="1:6">
      <c r="A31" s="164">
        <v>1204</v>
      </c>
      <c r="B31" s="22" t="s">
        <v>151</v>
      </c>
      <c r="C31" s="165">
        <v>70000</v>
      </c>
      <c r="D31" s="166">
        <v>3600</v>
      </c>
      <c r="E31" s="30">
        <f t="shared" ref="E31" si="2">D31-C31</f>
        <v>-66400</v>
      </c>
      <c r="F31" s="13">
        <f t="shared" ref="F31" si="3">D31/C31*100</f>
        <v>5.14285714285714</v>
      </c>
    </row>
    <row r="32" ht="23.25" hidden="1" spans="1:6">
      <c r="A32" s="164">
        <v>1300</v>
      </c>
      <c r="B32" s="22" t="s">
        <v>154</v>
      </c>
      <c r="C32" s="33">
        <v>0</v>
      </c>
      <c r="D32" s="45"/>
      <c r="E32" s="30"/>
      <c r="F32" s="13"/>
    </row>
    <row r="33" ht="23.25" hidden="1" spans="1:6">
      <c r="A33" s="47">
        <v>1301</v>
      </c>
      <c r="B33" s="48" t="s">
        <v>154</v>
      </c>
      <c r="C33" s="49">
        <v>0</v>
      </c>
      <c r="D33" s="49">
        <v>0</v>
      </c>
      <c r="E33" s="30">
        <f t="shared" si="0"/>
        <v>0</v>
      </c>
      <c r="F33" s="13" t="e">
        <f t="shared" si="1"/>
        <v>#DIV/0!</v>
      </c>
    </row>
    <row r="34" ht="16.5" hidden="1" spans="1:6">
      <c r="A34" s="50" t="s">
        <v>140</v>
      </c>
      <c r="B34" s="51" t="s">
        <v>141</v>
      </c>
      <c r="C34" s="52">
        <f>C36</f>
        <v>0</v>
      </c>
      <c r="D34" s="53">
        <f>D36</f>
        <v>0</v>
      </c>
      <c r="E34" s="30">
        <f t="shared" si="0"/>
        <v>0</v>
      </c>
      <c r="F34" s="13" t="e">
        <f t="shared" si="1"/>
        <v>#DIV/0!</v>
      </c>
    </row>
    <row r="35" ht="16.5" hidden="1" spans="1:6">
      <c r="A35" s="9"/>
      <c r="B35" s="10" t="s">
        <v>142</v>
      </c>
      <c r="C35" s="54"/>
      <c r="D35" s="54"/>
      <c r="E35" s="30">
        <f t="shared" si="0"/>
        <v>0</v>
      </c>
      <c r="F35" s="13"/>
    </row>
    <row r="36" ht="16.5" hidden="1" spans="1:6">
      <c r="A36" s="55" t="s">
        <v>143</v>
      </c>
      <c r="B36" s="56" t="s">
        <v>144</v>
      </c>
      <c r="C36" s="57">
        <v>0</v>
      </c>
      <c r="D36" s="57">
        <v>0</v>
      </c>
      <c r="E36" s="30">
        <f t="shared" si="0"/>
        <v>0</v>
      </c>
      <c r="F36" s="13" t="e">
        <f t="shared" si="1"/>
        <v>#DIV/0!</v>
      </c>
    </row>
    <row r="37" ht="16.5" hidden="1" spans="1:6">
      <c r="A37" s="14"/>
      <c r="B37" s="15" t="s">
        <v>145</v>
      </c>
      <c r="C37" s="26"/>
      <c r="D37" s="26"/>
      <c r="E37" s="30">
        <f t="shared" si="0"/>
        <v>0</v>
      </c>
      <c r="F37" s="13"/>
    </row>
    <row r="38" ht="16.5" spans="1:6">
      <c r="A38" s="9">
        <v>9800</v>
      </c>
      <c r="B38" s="10" t="s">
        <v>146</v>
      </c>
      <c r="C38" s="29">
        <f>C34+C30+C27+C25+C22+C20+C17+C14+C11+C9+C2+C32+C31</f>
        <v>45023234.31</v>
      </c>
      <c r="D38" s="29">
        <f>D34+D30+D27+D25+D22+D20+D17+D14+D11+D9+D2+D31</f>
        <v>7802253.32</v>
      </c>
      <c r="E38" s="30">
        <f t="shared" si="0"/>
        <v>-37220980.99</v>
      </c>
      <c r="F38" s="13">
        <f t="shared" si="1"/>
        <v>17.3293932334556</v>
      </c>
    </row>
  </sheetData>
  <mergeCells count="6">
    <mergeCell ref="A34:A35"/>
    <mergeCell ref="A36:A37"/>
    <mergeCell ref="C34:C35"/>
    <mergeCell ref="C36:C37"/>
    <mergeCell ref="D34:D35"/>
    <mergeCell ref="D36:D37"/>
  </mergeCells>
  <pageMargins left="0.31496062992126" right="0.118110236220472" top="0.551181102362205" bottom="0.354330708661417" header="0.31496062992126" footer="0.3149606299212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01.04</vt:lpstr>
      <vt:lpstr>01.10</vt:lpstr>
      <vt:lpstr>Доходы 01.04.2012 г.</vt:lpstr>
      <vt:lpstr>Расходы 01.04.2012 г.</vt:lpstr>
      <vt:lpstr>Доходы 01.07.2012</vt:lpstr>
      <vt:lpstr>Расходы 01.07.2012</vt:lpstr>
      <vt:lpstr>Доходы 01.04.2013</vt:lpstr>
      <vt:lpstr>Расходы на 01.04.2013 г.</vt:lpstr>
      <vt:lpstr>Расходы на 01.04.2018</vt:lpstr>
      <vt:lpstr>Доходы на 01.04.2018</vt:lpstr>
      <vt:lpstr>Доходы на 01.04.2019</vt:lpstr>
      <vt:lpstr>Расходы на 01.04.2019</vt:lpstr>
      <vt:lpstr>Доходы на 01.04.2020</vt:lpstr>
      <vt:lpstr>Расходы на 01.04.2020</vt:lpstr>
      <vt:lpstr>Доходы на 01.07.2020</vt:lpstr>
      <vt:lpstr>Расходы на 01.07.2020</vt:lpstr>
      <vt:lpstr>Доходы на 01.10.2020</vt:lpstr>
      <vt:lpstr>Расходы на 01.10.2020</vt:lpstr>
      <vt:lpstr>Доходы на 01.10.2021</vt:lpstr>
      <vt:lpstr>Расходы на 01.10.2021</vt:lpstr>
      <vt:lpstr>Доходы на 01.07.2022 </vt:lpstr>
      <vt:lpstr>Расходы на 01.07.2022</vt:lpstr>
      <vt:lpstr>Доходы на 01.10.2022</vt:lpstr>
      <vt:lpstr>Расходы на 01.10.2022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www.PHILka.RU</dc:creator>
  <cp:lastModifiedBy>Пользователь</cp:lastModifiedBy>
  <dcterms:created xsi:type="dcterms:W3CDTF">2010-01-27T11:07:00Z</dcterms:created>
  <cp:lastPrinted>2020-10-06T10:33:00Z</cp:lastPrinted>
  <dcterms:modified xsi:type="dcterms:W3CDTF">2022-10-06T07:02:38Z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C994C041FE154675B51948C08FBBA769</vt:lpwstr>
  </property>
  <property fmtid="{D5CDD505-2E9C-101B-9397-08002B2CF9AE}" pid="3" name="KSOProductBuildVer">
    <vt:lpwstr>1049-11.2.0.11306</vt:lpwstr>
  </property>
</Properties>
</file>